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lliamsjj\Documents\NATIONAL SOLAR CENTRE\Good practice guides\Car ports\"/>
    </mc:Choice>
  </mc:AlternateContent>
  <bookViews>
    <workbookView xWindow="0" yWindow="0" windowWidth="19200" windowHeight="12180" tabRatio="715"/>
  </bookViews>
  <sheets>
    <sheet name="Solar Carparking Financial Mode" sheetId="6" r:id="rId1"/>
  </sheets>
  <calcPr calcId="152511"/>
</workbook>
</file>

<file path=xl/calcChain.xml><?xml version="1.0" encoding="utf-8"?>
<calcChain xmlns="http://schemas.openxmlformats.org/spreadsheetml/2006/main">
  <c r="D11" i="6" l="1"/>
  <c r="D17" i="6" s="1"/>
  <c r="Q22" i="6" l="1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21" i="6"/>
  <c r="S22" i="6" l="1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21" i="6"/>
  <c r="I9" i="6"/>
  <c r="D8" i="6" l="1"/>
  <c r="I10" i="6" l="1"/>
  <c r="I11" i="6"/>
  <c r="D21" i="6"/>
  <c r="C22" i="6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D50" i="6" s="1"/>
  <c r="D23" i="6" l="1"/>
  <c r="D36" i="6"/>
  <c r="D24" i="6"/>
  <c r="D31" i="6"/>
  <c r="D30" i="6"/>
  <c r="D45" i="6"/>
  <c r="D25" i="6"/>
  <c r="D43" i="6"/>
  <c r="D39" i="6"/>
  <c r="D32" i="6"/>
  <c r="D34" i="6"/>
  <c r="D28" i="6"/>
  <c r="D29" i="6"/>
  <c r="D48" i="6"/>
  <c r="D47" i="6"/>
  <c r="D27" i="6"/>
  <c r="D46" i="6"/>
  <c r="D22" i="6"/>
  <c r="D41" i="6"/>
  <c r="D38" i="6"/>
  <c r="D40" i="6"/>
  <c r="D37" i="6"/>
  <c r="D35" i="6"/>
  <c r="D44" i="6"/>
  <c r="D42" i="6"/>
  <c r="D26" i="6"/>
  <c r="D49" i="6"/>
  <c r="D33" i="6"/>
  <c r="I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21" i="6"/>
  <c r="M21" i="6" l="1"/>
  <c r="J21" i="6"/>
  <c r="K21" i="6" s="1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F22" i="6"/>
  <c r="G22" i="6" s="1"/>
  <c r="F23" i="6"/>
  <c r="G23" i="6" s="1"/>
  <c r="F24" i="6"/>
  <c r="G24" i="6" s="1"/>
  <c r="F25" i="6"/>
  <c r="G25" i="6" s="1"/>
  <c r="F26" i="6"/>
  <c r="G26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F34" i="6"/>
  <c r="G34" i="6" s="1"/>
  <c r="F35" i="6"/>
  <c r="G35" i="6" s="1"/>
  <c r="F36" i="6"/>
  <c r="G36" i="6" s="1"/>
  <c r="F37" i="6"/>
  <c r="G37" i="6" s="1"/>
  <c r="F38" i="6"/>
  <c r="G38" i="6" s="1"/>
  <c r="F39" i="6"/>
  <c r="G39" i="6" s="1"/>
  <c r="F40" i="6"/>
  <c r="G40" i="6" s="1"/>
  <c r="F21" i="6"/>
  <c r="G21" i="6" s="1"/>
  <c r="D14" i="6" l="1"/>
  <c r="O21" i="6"/>
  <c r="U21" i="6" l="1"/>
  <c r="I22" i="6"/>
  <c r="M22" i="6" s="1"/>
  <c r="O22" i="6" s="1"/>
  <c r="I23" i="6"/>
  <c r="M23" i="6" l="1"/>
  <c r="O23" i="6" s="1"/>
  <c r="I24" i="6"/>
  <c r="M24" i="6" l="1"/>
  <c r="O24" i="6" s="1"/>
  <c r="I25" i="6"/>
  <c r="K22" i="6"/>
  <c r="U22" i="6" s="1"/>
  <c r="K23" i="6"/>
  <c r="U23" i="6" s="1"/>
  <c r="M25" i="6" l="1"/>
  <c r="O25" i="6" s="1"/>
  <c r="I26" i="6"/>
  <c r="K24" i="6"/>
  <c r="U24" i="6" s="1"/>
  <c r="M26" i="6" l="1"/>
  <c r="O26" i="6" s="1"/>
  <c r="U26" i="6" s="1"/>
  <c r="K26" i="6"/>
  <c r="I27" i="6"/>
  <c r="K25" i="6"/>
  <c r="U25" i="6" s="1"/>
  <c r="M27" i="6" l="1"/>
  <c r="O27" i="6" s="1"/>
  <c r="K27" i="6"/>
  <c r="I28" i="6"/>
  <c r="U27" i="6" l="1"/>
  <c r="M28" i="6"/>
  <c r="O28" i="6" s="1"/>
  <c r="K28" i="6"/>
  <c r="I29" i="6"/>
  <c r="U28" i="6" l="1"/>
  <c r="M29" i="6"/>
  <c r="O29" i="6" s="1"/>
  <c r="K29" i="6"/>
  <c r="I30" i="6"/>
  <c r="U29" i="6" l="1"/>
  <c r="M30" i="6"/>
  <c r="O30" i="6" s="1"/>
  <c r="K30" i="6"/>
  <c r="I31" i="6"/>
  <c r="U30" i="6" l="1"/>
  <c r="M31" i="6"/>
  <c r="O31" i="6" s="1"/>
  <c r="U31" i="6" s="1"/>
  <c r="K31" i="6"/>
  <c r="I32" i="6"/>
  <c r="M32" i="6" l="1"/>
  <c r="O32" i="6" s="1"/>
  <c r="K32" i="6"/>
  <c r="I33" i="6"/>
  <c r="U32" i="6" l="1"/>
  <c r="M33" i="6"/>
  <c r="O33" i="6" s="1"/>
  <c r="K33" i="6"/>
  <c r="I34" i="6"/>
  <c r="U33" i="6" l="1"/>
  <c r="M34" i="6"/>
  <c r="O34" i="6" s="1"/>
  <c r="U34" i="6" s="1"/>
  <c r="K34" i="6"/>
  <c r="I35" i="6"/>
  <c r="M35" i="6" l="1"/>
  <c r="O35" i="6" s="1"/>
  <c r="K35" i="6"/>
  <c r="I36" i="6"/>
  <c r="U35" i="6" l="1"/>
  <c r="M36" i="6"/>
  <c r="O36" i="6" s="1"/>
  <c r="U36" i="6" s="1"/>
  <c r="K36" i="6"/>
  <c r="I37" i="6"/>
  <c r="M37" i="6" l="1"/>
  <c r="O37" i="6" s="1"/>
  <c r="U37" i="6" s="1"/>
  <c r="K37" i="6"/>
  <c r="I38" i="6"/>
  <c r="M38" i="6" l="1"/>
  <c r="O38" i="6" s="1"/>
  <c r="K38" i="6"/>
  <c r="I39" i="6"/>
  <c r="U38" i="6" l="1"/>
  <c r="M39" i="6"/>
  <c r="O39" i="6" s="1"/>
  <c r="U39" i="6" s="1"/>
  <c r="K39" i="6"/>
  <c r="I40" i="6"/>
  <c r="M40" i="6" l="1"/>
  <c r="O40" i="6" s="1"/>
  <c r="D15" i="6" s="1"/>
  <c r="K40" i="6"/>
  <c r="I41" i="6"/>
  <c r="U40" i="6" l="1"/>
  <c r="K41" i="6"/>
  <c r="U41" i="6" s="1"/>
  <c r="I42" i="6"/>
  <c r="K42" i="6" l="1"/>
  <c r="U42" i="6" s="1"/>
  <c r="I43" i="6"/>
  <c r="D16" i="6" l="1"/>
  <c r="K43" i="6"/>
  <c r="U43" i="6" s="1"/>
  <c r="I44" i="6"/>
  <c r="K44" i="6" l="1"/>
  <c r="U44" i="6" s="1"/>
  <c r="I45" i="6"/>
  <c r="K45" i="6" l="1"/>
  <c r="U45" i="6" s="1"/>
  <c r="I46" i="6"/>
  <c r="K46" i="6" l="1"/>
  <c r="U46" i="6" s="1"/>
  <c r="I47" i="6"/>
  <c r="K47" i="6" l="1"/>
  <c r="G47" i="6"/>
  <c r="U47" i="6" s="1"/>
  <c r="I48" i="6"/>
  <c r="K48" i="6" l="1"/>
  <c r="I49" i="6"/>
  <c r="G48" i="6"/>
  <c r="U48" i="6" s="1"/>
  <c r="K49" i="6" l="1"/>
  <c r="I50" i="6"/>
  <c r="G49" i="6"/>
  <c r="U49" i="6" l="1"/>
  <c r="K50" i="6"/>
  <c r="G50" i="6"/>
  <c r="U50" i="6" l="1"/>
  <c r="U20" i="6"/>
  <c r="V21" i="6" l="1"/>
  <c r="D9" i="6"/>
  <c r="D10" i="6"/>
  <c r="V22" i="6" l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V44" i="6" s="1"/>
  <c r="V45" i="6" s="1"/>
  <c r="V46" i="6" s="1"/>
  <c r="V47" i="6" s="1"/>
  <c r="V48" i="6" s="1"/>
  <c r="V49" i="6" s="1"/>
  <c r="V50" i="6" s="1"/>
</calcChain>
</file>

<file path=xl/comments1.xml><?xml version="1.0" encoding="utf-8"?>
<comments xmlns="http://schemas.openxmlformats.org/spreadsheetml/2006/main">
  <authors>
    <author>Christopher Jackson</author>
  </authors>
  <commentList>
    <comment ref="D6" authorId="0" shapeId="0">
      <text>
        <r>
          <rPr>
            <b/>
            <sz val="11"/>
            <color indexed="81"/>
            <rFont val="Tahoma"/>
            <family val="2"/>
          </rPr>
          <t>Input the total cost of the project per kilowatt peak of installed solar capacity</t>
        </r>
      </text>
    </comment>
    <comment ref="I6" authorId="0" shapeId="0">
      <text>
        <r>
          <rPr>
            <b/>
            <sz val="11"/>
            <color indexed="81"/>
            <rFont val="Tahoma"/>
            <family val="2"/>
          </rPr>
          <t>Input Arrary Size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>
      <text>
        <r>
          <rPr>
            <b/>
            <sz val="11"/>
            <color indexed="81"/>
            <rFont val="Tahoma"/>
            <family val="2"/>
          </rPr>
          <t>Input Feed in Tariff appropriate to PV system</t>
        </r>
      </text>
    </comment>
    <comment ref="S6" authorId="0" shapeId="0">
      <text>
        <r>
          <rPr>
            <b/>
            <sz val="11"/>
            <color indexed="81"/>
            <rFont val="Tahoma"/>
            <family val="2"/>
          </rPr>
          <t>Input estimated revenue obtained from non solar revenue streams in year zero, such as premium parking, advertising, EV charging, etc,</t>
        </r>
      </text>
    </comment>
    <comment ref="V6" authorId="0" shapeId="0">
      <text>
        <r>
          <rPr>
            <b/>
            <sz val="11"/>
            <color indexed="81"/>
            <rFont val="Tahoma"/>
            <family val="2"/>
          </rPr>
          <t>Input an allocation for operations and maintenace during the 25 year lifetime
based on a figure of pounds per kilowatts of finstalled capcity</t>
        </r>
      </text>
    </comment>
    <comment ref="D7" authorId="0" shapeId="0">
      <text>
        <r>
          <rPr>
            <b/>
            <sz val="11"/>
            <color indexed="81"/>
            <rFont val="Tahoma"/>
            <family val="2"/>
          </rPr>
          <t>Input the average cost of financing the project over the full project lifetime</t>
        </r>
      </text>
    </comment>
    <comment ref="I7" authorId="0" shapeId="0">
      <text>
        <r>
          <rPr>
            <b/>
            <sz val="11"/>
            <color indexed="81"/>
            <rFont val="Tahoma"/>
            <family val="2"/>
          </rPr>
          <t>Input array Yield per kilowatt peak</t>
        </r>
      </text>
    </comment>
    <comment ref="N7" authorId="0" shapeId="0">
      <text>
        <r>
          <rPr>
            <b/>
            <sz val="11"/>
            <color indexed="81"/>
            <rFont val="Tahoma"/>
            <family val="2"/>
          </rPr>
          <t xml:space="preserve">Input inflation rate for FiT payments, non-solar revenue and O&amp;M costs over 25 years.
</t>
        </r>
      </text>
    </comment>
    <comment ref="D8" authorId="0" shapeId="0">
      <text>
        <r>
          <rPr>
            <b/>
            <sz val="11"/>
            <color indexed="81"/>
            <rFont val="Tahoma"/>
            <family val="2"/>
          </rPr>
          <t>= Cost per kilowatt peak * Size of the Array</t>
        </r>
      </text>
    </comment>
    <comment ref="I8" authorId="0" shapeId="0">
      <text>
        <r>
          <rPr>
            <b/>
            <sz val="11"/>
            <color indexed="81"/>
            <rFont val="Tahoma"/>
            <family val="2"/>
          </rPr>
          <t>Input anticipated export as a percentage of Annual Estimated Yield</t>
        </r>
      </text>
    </comment>
    <comment ref="N8" authorId="0" shapeId="0">
      <text>
        <r>
          <rPr>
            <b/>
            <sz val="11"/>
            <color indexed="81"/>
            <rFont val="Tahoma"/>
            <family val="2"/>
          </rPr>
          <t>Input the price paid for electricity by the off-taker in year zero</t>
        </r>
      </text>
    </comment>
    <comment ref="D9" authorId="0" shapeId="0">
      <text>
        <r>
          <rPr>
            <b/>
            <sz val="11"/>
            <color indexed="81"/>
            <rFont val="Tahoma"/>
            <family val="2"/>
          </rPr>
          <t>= Internal Rate of Return over 25 years including all solar and non solar revenue streams, FiT and Export Tariffs, Energy Savings and O&amp;M costs</t>
        </r>
      </text>
    </comment>
    <comment ref="I9" authorId="0" shapeId="0">
      <text>
        <r>
          <rPr>
            <b/>
            <sz val="11"/>
            <color indexed="81"/>
            <rFont val="Tahoma"/>
            <family val="2"/>
          </rPr>
          <t>= Size of Arrary * Yield per kWp</t>
        </r>
      </text>
    </comment>
    <comment ref="N9" authorId="0" shapeId="0">
      <text>
        <r>
          <rPr>
            <b/>
            <sz val="11"/>
            <color indexed="81"/>
            <rFont val="Tahoma"/>
            <family val="2"/>
          </rPr>
          <t>Input the average electricity price inflation over the 25 year lifetime of the project</t>
        </r>
      </text>
    </comment>
    <comment ref="D10" authorId="0" shapeId="0">
      <text>
        <r>
          <rPr>
            <b/>
            <sz val="11"/>
            <color indexed="81"/>
            <rFont val="Tahoma"/>
            <family val="2"/>
          </rPr>
          <t xml:space="preserve">= Net Present Value over 25 years after cost of borrowing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1"/>
            <color indexed="81"/>
            <rFont val="Tahoma"/>
            <family val="2"/>
          </rPr>
          <t>= Size of Arrary * Yield per kWp *(1-Percentage Export)</t>
        </r>
      </text>
    </comment>
    <comment ref="N10" authorId="0" shapeId="0">
      <text>
        <r>
          <rPr>
            <b/>
            <sz val="11"/>
            <color indexed="81"/>
            <rFont val="Tahoma"/>
            <family val="2"/>
          </rPr>
          <t>Input the sale price of electricty exported by the systems. This may be the Export Tariff or another sleaving arrangement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11"/>
            <color indexed="81"/>
            <rFont val="Tahoma"/>
            <family val="2"/>
          </rPr>
          <t>= Number of years to repay investment</t>
        </r>
      </text>
    </comment>
    <comment ref="I11" authorId="0" shapeId="0">
      <text>
        <r>
          <rPr>
            <b/>
            <sz val="11"/>
            <color indexed="81"/>
            <rFont val="Tahoma"/>
            <family val="2"/>
          </rPr>
          <t>= Size of Arrary * Yield per kWp * (Percentage Export)</t>
        </r>
      </text>
    </comment>
    <comment ref="D14" authorId="0" shapeId="0">
      <text>
        <r>
          <rPr>
            <b/>
            <sz val="11"/>
            <color indexed="81"/>
            <rFont val="Tahoma"/>
            <family val="2"/>
          </rPr>
          <t>= Sum of FiT payments over project lifetime</t>
        </r>
      </text>
    </comment>
    <comment ref="D15" authorId="0" shapeId="0">
      <text>
        <r>
          <rPr>
            <b/>
            <sz val="11"/>
            <color indexed="81"/>
            <rFont val="Tahoma"/>
            <family val="2"/>
          </rPr>
          <t>= Sum of all Export or Sleeving revenues over  project lifetime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11"/>
            <color indexed="81"/>
            <rFont val="Tahoma"/>
            <family val="2"/>
          </rPr>
          <t>= Sum of FiT and Export Subsidy</t>
        </r>
      </text>
    </comment>
    <comment ref="D17" authorId="0" shapeId="0">
      <text>
        <r>
          <rPr>
            <b/>
            <sz val="11"/>
            <color indexed="81"/>
            <rFont val="Tahoma"/>
            <family val="2"/>
          </rPr>
          <t>= [Project Cost + Interest - FiT - Export Tariff] / [Energy Generation] totalled over 25 years</t>
        </r>
      </text>
    </comment>
    <comment ref="B40" authorId="0" shapeId="0">
      <text>
        <r>
          <rPr>
            <b/>
            <sz val="11"/>
            <color indexed="81"/>
            <rFont val="Tahoma"/>
            <family val="2"/>
          </rPr>
          <t>FiT and Export Tarrifs cease after 20 years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</rPr>
          <t>End of most solar panel product warentees after 25 years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<sst xmlns="http://schemas.openxmlformats.org/spreadsheetml/2006/main" count="48" uniqueCount="47">
  <si>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Size of the Array (kWp)</t>
  </si>
  <si>
    <t>Year</t>
  </si>
  <si>
    <t>Total Generation annual income (£)</t>
  </si>
  <si>
    <t>Accumulative Total (£)</t>
  </si>
  <si>
    <t>Total export income (£)</t>
  </si>
  <si>
    <t>Annual Internal Usage (kWhr)</t>
  </si>
  <si>
    <t>Annual Estimated Yield (kWhr)</t>
  </si>
  <si>
    <t>Annual Exported (kWhr)</t>
  </si>
  <si>
    <t>Project Cost (£)</t>
  </si>
  <si>
    <t>Cell Efficiency Profile</t>
  </si>
  <si>
    <t>FiT (p/kWhr)</t>
  </si>
  <si>
    <t>Energy Exported (kWh)</t>
  </si>
  <si>
    <t xml:space="preserve">Cost of Electricity (p/kWhr) </t>
  </si>
  <si>
    <t>Estimated Output - Degradation (kWh/annum)</t>
  </si>
  <si>
    <t>Export Tariff (p/kWhr)</t>
  </si>
  <si>
    <t>Net Income (£)</t>
  </si>
  <si>
    <t>O&amp;M Costs incl 3% inflation (£)</t>
  </si>
  <si>
    <t>IRR (25yr)</t>
  </si>
  <si>
    <t>NPV (25yr)</t>
  </si>
  <si>
    <t>System Configuration</t>
  </si>
  <si>
    <t>Percentage Export (%)</t>
  </si>
  <si>
    <t>LCOE (25 year) (p/kWh)</t>
  </si>
  <si>
    <t>Solar Carparking Financial Model</t>
  </si>
  <si>
    <t>Non Solar Revenue Streams</t>
  </si>
  <si>
    <t>Finacial Performance (25yr)</t>
  </si>
  <si>
    <t>Energy Pricing</t>
  </si>
  <si>
    <t>Opeartions &amp; Maintenance</t>
  </si>
  <si>
    <t>Input Cells</t>
  </si>
  <si>
    <t>Output Cells</t>
  </si>
  <si>
    <t>Key</t>
  </si>
  <si>
    <t>Cost of Borrowing (%)</t>
  </si>
  <si>
    <t>Electricity Price Inflation (%)</t>
  </si>
  <si>
    <t>Non-Solar Revenue (£/yr)</t>
  </si>
  <si>
    <t>Total Subsidies (£)</t>
  </si>
  <si>
    <t>FiT Subsidy (£)</t>
  </si>
  <si>
    <t>Export Tarrif Subsidy (£)</t>
  </si>
  <si>
    <t>Income from Subsidies</t>
  </si>
  <si>
    <t>Annual Yeld per (kWh/kWp)</t>
  </si>
  <si>
    <t>Cost per Kilowatt Peak (£/kWp)</t>
  </si>
  <si>
    <t>FIT tarrif +  inflation (p/kWh)</t>
  </si>
  <si>
    <t>Export Tariff of Sleeving (p/kWhr)</t>
  </si>
  <si>
    <t>O&amp;M (£/kWp)</t>
  </si>
  <si>
    <t>RPI inflation (%)</t>
  </si>
  <si>
    <t>Payback (years)</t>
  </si>
  <si>
    <t>Energy Used on-Site (kWh)</t>
  </si>
  <si>
    <t>Cost of On-site Electricity (p/kWhr)</t>
  </si>
  <si>
    <t>Total On-site Energy Savings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</si>
</sst>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£&quot;#,##0;\-&quot;£&quot;#,##0"/>
    <numFmt numFmtId="6" formatCode="&quot;£&quot;#,##0;[Red]\-&quot;£&quot;#,##0"/>
    <numFmt numFmtId="41" formatCode="_-* #,##0_-;\-* #,##0_-;_-* &quot;-&quot;_-;_-@_-"/>
    <numFmt numFmtId="164" formatCode="&quot; &quot;* #,##0&quot; &quot;;&quot;-&quot;* #,##0&quot; &quot;;&quot; &quot;* &quot;-&quot;??&quot; &quot;"/>
    <numFmt numFmtId="165" formatCode="0.0"/>
    <numFmt numFmtId="166" formatCode="0.0%"/>
    <numFmt numFmtId="167" formatCode="&quot;£&quot;#,##0"/>
    <numFmt numFmtId="168" formatCode="&quot;£&quot;#,##0.00"/>
    <numFmt numFmtId="169" formatCode="#,##0.000"/>
    <numFmt numFmtId="170" formatCode="#,##0_ ;\-#,##0\ "/>
    <numFmt numFmtId="171" formatCode="#,##0.0000"/>
  </numFmts>
  <fonts count="11" x14ac:knownFonts="1">
    <font>
      <sz val="12"/>
      <color indexed="8"/>
      <name val="Verdana"/>
    </font>
    <font>
      <b/>
      <sz val="20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17"/>
      <name val="Verdana"/>
      <family val="2"/>
    </font>
    <font>
      <b/>
      <sz val="11"/>
      <name val="Verdana"/>
      <family val="2"/>
    </font>
    <font>
      <sz val="9"/>
      <color indexed="81"/>
      <name val="Tahoma"/>
      <charset val="1"/>
    </font>
    <font>
      <b/>
      <sz val="11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Dash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Dash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Dashed">
        <color indexed="64"/>
      </bottom>
      <diagonal/>
    </border>
    <border>
      <left style="thin">
        <color indexed="8"/>
      </left>
      <right style="thin">
        <color indexed="8"/>
      </right>
      <top/>
      <bottom style="mediumDashed">
        <color indexed="64"/>
      </bottom>
      <diagonal/>
    </border>
    <border>
      <left style="thin">
        <color indexed="8"/>
      </left>
      <right/>
      <top style="thin">
        <color indexed="8"/>
      </top>
      <bottom style="medium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Dashed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0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" fontId="2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vertical="top"/>
    </xf>
    <xf numFmtId="1" fontId="3" fillId="0" borderId="5" xfId="0" applyNumberFormat="1" applyFont="1" applyFill="1" applyBorder="1" applyAlignment="1">
      <alignment horizontal="left" vertical="top"/>
    </xf>
    <xf numFmtId="3" fontId="2" fillId="0" borderId="5" xfId="0" applyNumberFormat="1" applyFont="1" applyFill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2" fillId="0" borderId="5" xfId="0" applyNumberFormat="1" applyFont="1" applyBorder="1" applyAlignment="1">
      <alignment horizontal="right" vertical="top" wrapText="1"/>
    </xf>
    <xf numFmtId="0" fontId="2" fillId="0" borderId="5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4" fillId="2" borderId="0" xfId="0" applyNumberFormat="1" applyFont="1" applyFill="1" applyAlignment="1">
      <alignment vertical="top" wrapText="1"/>
    </xf>
    <xf numFmtId="166" fontId="4" fillId="2" borderId="0" xfId="0" applyNumberFormat="1" applyFont="1" applyFill="1" applyAlignment="1">
      <alignment horizontal="right" vertical="top" wrapText="1"/>
    </xf>
    <xf numFmtId="6" fontId="4" fillId="2" borderId="0" xfId="0" applyNumberFormat="1" applyFont="1" applyFill="1" applyAlignment="1">
      <alignment horizontal="righ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1" fontId="2" fillId="0" borderId="5" xfId="0" applyNumberFormat="1" applyFont="1" applyBorder="1" applyAlignment="1"/>
    <xf numFmtId="2" fontId="2" fillId="0" borderId="5" xfId="0" applyNumberFormat="1" applyFont="1" applyBorder="1" applyAlignment="1"/>
    <xf numFmtId="1" fontId="2" fillId="0" borderId="3" xfId="0" applyNumberFormat="1" applyFont="1" applyBorder="1" applyAlignment="1"/>
    <xf numFmtId="1" fontId="2" fillId="0" borderId="3" xfId="0" applyNumberFormat="1" applyFont="1" applyFill="1" applyBorder="1" applyAlignment="1"/>
    <xf numFmtId="1" fontId="2" fillId="0" borderId="7" xfId="0" applyNumberFormat="1" applyFont="1" applyBorder="1" applyAlignment="1"/>
    <xf numFmtId="167" fontId="2" fillId="2" borderId="5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1" fontId="4" fillId="0" borderId="5" xfId="0" applyNumberFormat="1" applyFont="1" applyBorder="1" applyAlignment="1"/>
    <xf numFmtId="1" fontId="5" fillId="0" borderId="5" xfId="0" applyNumberFormat="1" applyFont="1" applyBorder="1" applyAlignment="1"/>
    <xf numFmtId="1" fontId="2" fillId="0" borderId="5" xfId="0" applyNumberFormat="1" applyFont="1" applyFill="1" applyBorder="1" applyAlignment="1"/>
    <xf numFmtId="167" fontId="2" fillId="0" borderId="0" xfId="0" applyNumberFormat="1" applyFont="1" applyAlignment="1">
      <alignment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2" fillId="0" borderId="5" xfId="0" applyNumberFormat="1" applyFont="1" applyFill="1" applyBorder="1" applyAlignment="1">
      <alignment vertical="top"/>
    </xf>
    <xf numFmtId="9" fontId="4" fillId="0" borderId="7" xfId="0" applyNumberFormat="1" applyFont="1" applyFill="1" applyBorder="1" applyAlignment="1"/>
    <xf numFmtId="49" fontId="6" fillId="2" borderId="7" xfId="0" applyNumberFormat="1" applyFont="1" applyFill="1" applyBorder="1" applyAlignment="1"/>
    <xf numFmtId="9" fontId="2" fillId="0" borderId="5" xfId="0" applyNumberFormat="1" applyFont="1" applyBorder="1" applyAlignment="1"/>
    <xf numFmtId="9" fontId="4" fillId="0" borderId="7" xfId="0" applyNumberFormat="1" applyFont="1" applyBorder="1" applyAlignment="1"/>
    <xf numFmtId="9" fontId="4" fillId="0" borderId="5" xfId="0" applyNumberFormat="1" applyFont="1" applyBorder="1" applyAlignment="1"/>
    <xf numFmtId="0" fontId="4" fillId="0" borderId="25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2" xfId="0" applyNumberFormat="1" applyFont="1" applyFill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4" fillId="0" borderId="3" xfId="0" applyNumberFormat="1" applyFont="1" applyBorder="1" applyAlignment="1">
      <alignment horizontal="right" vertical="top" wrapText="1"/>
    </xf>
    <xf numFmtId="0" fontId="4" fillId="0" borderId="9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2" xfId="0" applyNumberFormat="1" applyFont="1" applyBorder="1" applyAlignment="1">
      <alignment horizontal="right" wrapText="1"/>
    </xf>
    <xf numFmtId="0" fontId="2" fillId="0" borderId="14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right" wrapText="1"/>
    </xf>
    <xf numFmtId="0" fontId="4" fillId="0" borderId="17" xfId="0" applyNumberFormat="1" applyFont="1" applyBorder="1" applyAlignment="1">
      <alignment horizontal="right" wrapText="1"/>
    </xf>
    <xf numFmtId="0" fontId="4" fillId="0" borderId="14" xfId="0" applyNumberFormat="1" applyFont="1" applyBorder="1" applyAlignment="1">
      <alignment horizontal="right" wrapText="1"/>
    </xf>
    <xf numFmtId="0" fontId="2" fillId="0" borderId="26" xfId="0" applyNumberFormat="1" applyFont="1" applyBorder="1" applyAlignment="1"/>
    <xf numFmtId="1" fontId="2" fillId="0" borderId="11" xfId="0" applyNumberFormat="1" applyFont="1" applyBorder="1" applyAlignment="1"/>
    <xf numFmtId="0" fontId="2" fillId="0" borderId="12" xfId="0" applyNumberFormat="1" applyFont="1" applyBorder="1" applyAlignment="1">
      <alignment vertical="top" wrapText="1"/>
    </xf>
    <xf numFmtId="165" fontId="2" fillId="0" borderId="1" xfId="0" applyNumberFormat="1" applyFont="1" applyBorder="1" applyAlignment="1"/>
    <xf numFmtId="2" fontId="2" fillId="0" borderId="11" xfId="0" applyNumberFormat="1" applyFont="1" applyFill="1" applyBorder="1" applyAlignment="1"/>
    <xf numFmtId="1" fontId="2" fillId="0" borderId="8" xfId="0" applyNumberFormat="1" applyFont="1" applyBorder="1" applyAlignment="1"/>
    <xf numFmtId="165" fontId="2" fillId="0" borderId="11" xfId="0" applyNumberFormat="1" applyFont="1" applyFill="1" applyBorder="1" applyAlignment="1"/>
    <xf numFmtId="0" fontId="2" fillId="0" borderId="27" xfId="0" applyNumberFormat="1" applyFont="1" applyBorder="1" applyAlignment="1"/>
    <xf numFmtId="165" fontId="2" fillId="0" borderId="9" xfId="0" applyNumberFormat="1" applyFont="1" applyBorder="1" applyAlignment="1"/>
    <xf numFmtId="0" fontId="2" fillId="0" borderId="25" xfId="0" applyNumberFormat="1" applyFont="1" applyBorder="1" applyAlignment="1"/>
    <xf numFmtId="0" fontId="2" fillId="0" borderId="22" xfId="0" applyNumberFormat="1" applyFont="1" applyBorder="1" applyAlignment="1">
      <alignment vertical="top" wrapText="1"/>
    </xf>
    <xf numFmtId="165" fontId="2" fillId="0" borderId="2" xfId="0" applyNumberFormat="1" applyFont="1" applyBorder="1" applyAlignment="1"/>
    <xf numFmtId="2" fontId="2" fillId="0" borderId="23" xfId="0" applyNumberFormat="1" applyFont="1" applyFill="1" applyBorder="1" applyAlignment="1"/>
    <xf numFmtId="165" fontId="2" fillId="0" borderId="10" xfId="0" applyNumberFormat="1" applyFont="1" applyBorder="1" applyAlignment="1"/>
    <xf numFmtId="0" fontId="2" fillId="0" borderId="21" xfId="0" applyNumberFormat="1" applyFont="1" applyBorder="1" applyAlignment="1"/>
    <xf numFmtId="0" fontId="2" fillId="0" borderId="21" xfId="0" applyNumberFormat="1" applyFont="1" applyBorder="1" applyAlignment="1">
      <alignment vertical="top" wrapText="1"/>
    </xf>
    <xf numFmtId="165" fontId="2" fillId="0" borderId="21" xfId="0" applyNumberFormat="1" applyFont="1" applyBorder="1" applyAlignment="1"/>
    <xf numFmtId="1" fontId="2" fillId="0" borderId="24" xfId="0" applyNumberFormat="1" applyFont="1" applyFill="1" applyBorder="1" applyAlignment="1"/>
    <xf numFmtId="2" fontId="2" fillId="0" borderId="21" xfId="0" applyNumberFormat="1" applyFont="1" applyFill="1" applyBorder="1" applyAlignment="1"/>
    <xf numFmtId="1" fontId="2" fillId="0" borderId="21" xfId="0" applyNumberFormat="1" applyFont="1" applyBorder="1" applyAlignment="1"/>
    <xf numFmtId="1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vertical="top" wrapText="1"/>
    </xf>
    <xf numFmtId="166" fontId="2" fillId="0" borderId="5" xfId="0" applyNumberFormat="1" applyFont="1" applyBorder="1" applyAlignment="1"/>
    <xf numFmtId="166" fontId="2" fillId="0" borderId="0" xfId="0" applyNumberFormat="1" applyFont="1" applyAlignment="1">
      <alignment vertical="top" wrapText="1"/>
    </xf>
    <xf numFmtId="166" fontId="4" fillId="2" borderId="0" xfId="0" applyNumberFormat="1" applyFont="1" applyFill="1" applyAlignment="1">
      <alignment vertical="top" wrapText="1"/>
    </xf>
    <xf numFmtId="166" fontId="4" fillId="2" borderId="5" xfId="0" applyNumberFormat="1" applyFont="1" applyFill="1" applyBorder="1" applyAlignment="1">
      <alignment horizontal="left" vertical="top" wrapText="1"/>
    </xf>
    <xf numFmtId="166" fontId="2" fillId="0" borderId="7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 vertical="top" wrapText="1"/>
    </xf>
    <xf numFmtId="166" fontId="2" fillId="0" borderId="14" xfId="0" applyNumberFormat="1" applyFont="1" applyBorder="1" applyAlignment="1">
      <alignment horizontal="right" wrapText="1"/>
    </xf>
    <xf numFmtId="166" fontId="2" fillId="0" borderId="11" xfId="0" applyNumberFormat="1" applyFont="1" applyBorder="1" applyAlignment="1"/>
    <xf numFmtId="166" fontId="2" fillId="0" borderId="9" xfId="0" applyNumberFormat="1" applyFont="1" applyBorder="1" applyAlignment="1"/>
    <xf numFmtId="166" fontId="2" fillId="0" borderId="0" xfId="0" applyNumberFormat="1" applyFont="1" applyAlignment="1">
      <alignment horizontal="left" vertical="top"/>
    </xf>
    <xf numFmtId="166" fontId="2" fillId="0" borderId="21" xfId="0" applyNumberFormat="1" applyFont="1" applyBorder="1" applyAlignment="1"/>
    <xf numFmtId="1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2" fontId="2" fillId="0" borderId="0" xfId="0" applyNumberFormat="1" applyFont="1" applyFill="1" applyAlignment="1">
      <alignment horizontal="right" vertical="top" wrapText="1"/>
    </xf>
    <xf numFmtId="9" fontId="4" fillId="0" borderId="7" xfId="0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1" fontId="2" fillId="0" borderId="3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5" fontId="2" fillId="0" borderId="18" xfId="0" applyNumberFormat="1" applyFont="1" applyBorder="1" applyAlignment="1"/>
    <xf numFmtId="5" fontId="2" fillId="0" borderId="21" xfId="0" applyNumberFormat="1" applyFont="1" applyBorder="1" applyAlignment="1"/>
    <xf numFmtId="167" fontId="2" fillId="0" borderId="6" xfId="0" applyNumberFormat="1" applyFont="1" applyBorder="1" applyAlignment="1"/>
    <xf numFmtId="167" fontId="2" fillId="0" borderId="1" xfId="0" applyNumberFormat="1" applyFont="1" applyBorder="1" applyAlignment="1"/>
    <xf numFmtId="167" fontId="2" fillId="0" borderId="2" xfId="0" applyNumberFormat="1" applyFont="1" applyBorder="1" applyAlignment="1"/>
    <xf numFmtId="167" fontId="2" fillId="0" borderId="21" xfId="0" applyNumberFormat="1" applyFont="1" applyBorder="1" applyAlignment="1"/>
    <xf numFmtId="167" fontId="2" fillId="0" borderId="11" xfId="0" applyNumberFormat="1" applyFont="1" applyBorder="1" applyAlignment="1"/>
    <xf numFmtId="167" fontId="2" fillId="0" borderId="24" xfId="0" applyNumberFormat="1" applyFont="1" applyBorder="1" applyAlignment="1"/>
    <xf numFmtId="168" fontId="2" fillId="0" borderId="14" xfId="0" applyNumberFormat="1" applyFont="1" applyBorder="1" applyAlignment="1">
      <alignment vertical="top" wrapText="1"/>
    </xf>
    <xf numFmtId="168" fontId="2" fillId="0" borderId="0" xfId="0" applyNumberFormat="1" applyFont="1" applyAlignment="1">
      <alignment vertical="top" wrapText="1"/>
    </xf>
    <xf numFmtId="168" fontId="2" fillId="0" borderId="12" xfId="0" applyNumberFormat="1" applyFont="1" applyBorder="1" applyAlignment="1">
      <alignment vertical="top" wrapText="1"/>
    </xf>
    <xf numFmtId="168" fontId="2" fillId="0" borderId="9" xfId="0" applyNumberFormat="1" applyFont="1" applyBorder="1" applyAlignment="1"/>
    <xf numFmtId="168" fontId="2" fillId="0" borderId="10" xfId="0" applyNumberFormat="1" applyFont="1" applyBorder="1" applyAlignment="1"/>
    <xf numFmtId="168" fontId="2" fillId="0" borderId="22" xfId="0" applyNumberFormat="1" applyFont="1" applyBorder="1" applyAlignment="1">
      <alignment vertical="top" wrapText="1"/>
    </xf>
    <xf numFmtId="168" fontId="2" fillId="0" borderId="21" xfId="0" applyNumberFormat="1" applyFont="1" applyBorder="1" applyAlignment="1"/>
    <xf numFmtId="168" fontId="2" fillId="0" borderId="21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166" fontId="1" fillId="0" borderId="5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center"/>
    </xf>
    <xf numFmtId="41" fontId="2" fillId="3" borderId="0" xfId="0" applyNumberFormat="1" applyFont="1" applyFill="1" applyAlignment="1">
      <alignment vertical="top" wrapText="1"/>
    </xf>
    <xf numFmtId="3" fontId="2" fillId="3" borderId="5" xfId="0" applyNumberFormat="1" applyFont="1" applyFill="1" applyBorder="1" applyAlignment="1">
      <alignment vertical="top"/>
    </xf>
    <xf numFmtId="0" fontId="2" fillId="3" borderId="0" xfId="0" applyNumberFormat="1" applyFont="1" applyFill="1" applyAlignment="1">
      <alignment horizontal="right" vertical="top" wrapText="1"/>
    </xf>
    <xf numFmtId="2" fontId="3" fillId="3" borderId="5" xfId="0" applyNumberFormat="1" applyFont="1" applyFill="1" applyBorder="1" applyAlignment="1">
      <alignment horizontal="right" vertical="top"/>
    </xf>
    <xf numFmtId="2" fontId="2" fillId="3" borderId="0" xfId="0" applyNumberFormat="1" applyFont="1" applyFill="1" applyAlignment="1">
      <alignment horizontal="right" vertical="top" wrapText="1"/>
    </xf>
    <xf numFmtId="0" fontId="2" fillId="3" borderId="0" xfId="0" applyNumberFormat="1" applyFont="1" applyFill="1" applyAlignment="1">
      <alignment vertical="top" wrapText="1"/>
    </xf>
    <xf numFmtId="0" fontId="4" fillId="0" borderId="17" xfId="0" applyNumberFormat="1" applyFont="1" applyBorder="1" applyAlignment="1"/>
    <xf numFmtId="166" fontId="2" fillId="0" borderId="17" xfId="0" applyNumberFormat="1" applyFont="1" applyBorder="1" applyAlignment="1"/>
    <xf numFmtId="1" fontId="2" fillId="0" borderId="17" xfId="0" applyNumberFormat="1" applyFont="1" applyBorder="1" applyAlignment="1"/>
    <xf numFmtId="0" fontId="3" fillId="3" borderId="5" xfId="0" applyNumberFormat="1" applyFont="1" applyFill="1" applyBorder="1" applyAlignment="1">
      <alignment vertical="top"/>
    </xf>
    <xf numFmtId="166" fontId="3" fillId="3" borderId="5" xfId="0" applyNumberFormat="1" applyFont="1" applyFill="1" applyBorder="1" applyAlignment="1">
      <alignment vertical="top"/>
    </xf>
    <xf numFmtId="0" fontId="2" fillId="3" borderId="5" xfId="0" applyNumberFormat="1" applyFont="1" applyFill="1" applyBorder="1" applyAlignment="1">
      <alignment vertical="top"/>
    </xf>
    <xf numFmtId="1" fontId="2" fillId="3" borderId="5" xfId="0" applyNumberFormat="1" applyFont="1" applyFill="1" applyBorder="1" applyAlignment="1">
      <alignment vertical="top"/>
    </xf>
    <xf numFmtId="9" fontId="2" fillId="3" borderId="0" xfId="0" applyNumberFormat="1" applyFont="1" applyFill="1" applyAlignment="1">
      <alignment vertical="top" wrapText="1"/>
    </xf>
    <xf numFmtId="168" fontId="2" fillId="0" borderId="29" xfId="0" applyNumberFormat="1" applyFont="1" applyBorder="1" applyAlignment="1">
      <alignment vertical="top" wrapText="1"/>
    </xf>
    <xf numFmtId="1" fontId="2" fillId="3" borderId="5" xfId="0" applyNumberFormat="1" applyFont="1" applyFill="1" applyBorder="1" applyAlignment="1">
      <alignment vertical="top" wrapText="1"/>
    </xf>
    <xf numFmtId="1" fontId="3" fillId="3" borderId="5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26" xfId="0" applyNumberFormat="1" applyFont="1" applyFill="1" applyBorder="1" applyAlignment="1"/>
    <xf numFmtId="166" fontId="2" fillId="0" borderId="28" xfId="0" applyNumberFormat="1" applyFont="1" applyFill="1" applyBorder="1" applyAlignment="1"/>
    <xf numFmtId="1" fontId="2" fillId="0" borderId="11" xfId="0" applyNumberFormat="1" applyFont="1" applyFill="1" applyBorder="1" applyAlignment="1"/>
    <xf numFmtId="0" fontId="2" fillId="0" borderId="15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/>
    <xf numFmtId="5" fontId="2" fillId="0" borderId="20" xfId="0" applyNumberFormat="1" applyFont="1" applyFill="1" applyBorder="1" applyAlignment="1"/>
    <xf numFmtId="167" fontId="2" fillId="0" borderId="6" xfId="0" applyNumberFormat="1" applyFont="1" applyFill="1" applyBorder="1" applyAlignment="1"/>
    <xf numFmtId="1" fontId="2" fillId="0" borderId="6" xfId="0" applyNumberFormat="1" applyFont="1" applyFill="1" applyBorder="1" applyAlignment="1"/>
    <xf numFmtId="164" fontId="2" fillId="0" borderId="20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/>
    <xf numFmtId="168" fontId="2" fillId="0" borderId="15" xfId="0" applyNumberFormat="1" applyFont="1" applyFill="1" applyBorder="1" applyAlignment="1">
      <alignment vertical="top" wrapText="1"/>
    </xf>
    <xf numFmtId="168" fontId="2" fillId="0" borderId="11" xfId="0" applyNumberFormat="1" applyFont="1" applyFill="1" applyBorder="1" applyAlignment="1"/>
    <xf numFmtId="0" fontId="2" fillId="0" borderId="27" xfId="0" applyNumberFormat="1" applyFont="1" applyFill="1" applyBorder="1" applyAlignment="1"/>
    <xf numFmtId="166" fontId="2" fillId="0" borderId="9" xfId="0" applyNumberFormat="1" applyFont="1" applyFill="1" applyBorder="1" applyAlignment="1"/>
    <xf numFmtId="0" fontId="2" fillId="0" borderId="12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/>
    <xf numFmtId="5" fontId="2" fillId="0" borderId="19" xfId="0" applyNumberFormat="1" applyFont="1" applyFill="1" applyBorder="1" applyAlignment="1"/>
    <xf numFmtId="167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164" fontId="2" fillId="0" borderId="1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/>
    <xf numFmtId="168" fontId="2" fillId="0" borderId="12" xfId="0" applyNumberFormat="1" applyFont="1" applyFill="1" applyBorder="1" applyAlignment="1">
      <alignment vertical="top" wrapText="1"/>
    </xf>
    <xf numFmtId="168" fontId="2" fillId="0" borderId="9" xfId="0" applyNumberFormat="1" applyFont="1" applyFill="1" applyBorder="1" applyAlignment="1"/>
    <xf numFmtId="1" fontId="2" fillId="0" borderId="28" xfId="0" applyNumberFormat="1" applyFont="1" applyFill="1" applyBorder="1" applyAlignment="1"/>
    <xf numFmtId="2" fontId="2" fillId="0" borderId="28" xfId="0" applyNumberFormat="1" applyFont="1" applyFill="1" applyBorder="1" applyAlignment="1"/>
    <xf numFmtId="165" fontId="2" fillId="0" borderId="28" xfId="0" applyNumberFormat="1" applyFont="1" applyFill="1" applyBorder="1" applyAlignment="1"/>
    <xf numFmtId="0" fontId="2" fillId="0" borderId="35" xfId="0" applyNumberFormat="1" applyFont="1" applyFill="1" applyBorder="1" applyAlignment="1"/>
    <xf numFmtId="166" fontId="2" fillId="0" borderId="36" xfId="0" applyNumberFormat="1" applyFont="1" applyFill="1" applyBorder="1" applyAlignment="1"/>
    <xf numFmtId="1" fontId="2" fillId="0" borderId="37" xfId="0" applyNumberFormat="1" applyFont="1" applyFill="1" applyBorder="1" applyAlignment="1"/>
    <xf numFmtId="0" fontId="2" fillId="0" borderId="29" xfId="0" applyNumberFormat="1" applyFont="1" applyFill="1" applyBorder="1" applyAlignment="1">
      <alignment vertical="top" wrapText="1"/>
    </xf>
    <xf numFmtId="165" fontId="2" fillId="0" borderId="38" xfId="0" applyNumberFormat="1" applyFont="1" applyFill="1" applyBorder="1" applyAlignment="1"/>
    <xf numFmtId="5" fontId="2" fillId="0" borderId="34" xfId="0" applyNumberFormat="1" applyFont="1" applyFill="1" applyBorder="1" applyAlignment="1"/>
    <xf numFmtId="2" fontId="2" fillId="0" borderId="37" xfId="0" applyNumberFormat="1" applyFont="1" applyFill="1" applyBorder="1" applyAlignment="1"/>
    <xf numFmtId="167" fontId="2" fillId="0" borderId="38" xfId="0" applyNumberFormat="1" applyFont="1" applyFill="1" applyBorder="1" applyAlignment="1"/>
    <xf numFmtId="1" fontId="2" fillId="0" borderId="38" xfId="0" applyNumberFormat="1" applyFont="1" applyFill="1" applyBorder="1" applyAlignment="1"/>
    <xf numFmtId="164" fontId="2" fillId="0" borderId="34" xfId="0" applyNumberFormat="1" applyFont="1" applyFill="1" applyBorder="1" applyAlignment="1">
      <alignment horizontal="right"/>
    </xf>
    <xf numFmtId="165" fontId="2" fillId="0" borderId="36" xfId="0" applyNumberFormat="1" applyFont="1" applyFill="1" applyBorder="1" applyAlignment="1"/>
    <xf numFmtId="168" fontId="2" fillId="0" borderId="29" xfId="0" applyNumberFormat="1" applyFont="1" applyFill="1" applyBorder="1" applyAlignment="1">
      <alignment vertical="top" wrapText="1"/>
    </xf>
    <xf numFmtId="168" fontId="2" fillId="0" borderId="36" xfId="0" applyNumberFormat="1" applyFont="1" applyFill="1" applyBorder="1" applyAlignment="1"/>
    <xf numFmtId="0" fontId="2" fillId="0" borderId="0" xfId="0" applyNumberFormat="1" applyFont="1" applyAlignment="1">
      <alignment horizontal="left" vertical="top" wrapText="1"/>
    </xf>
    <xf numFmtId="10" fontId="2" fillId="3" borderId="5" xfId="0" applyNumberFormat="1" applyFont="1" applyFill="1" applyBorder="1" applyAlignment="1">
      <alignment horizontal="right" vertical="top"/>
    </xf>
    <xf numFmtId="167" fontId="2" fillId="0" borderId="5" xfId="0" applyNumberFormat="1" applyFont="1" applyBorder="1" applyAlignment="1"/>
    <xf numFmtId="167" fontId="2" fillId="0" borderId="3" xfId="0" applyNumberFormat="1" applyFont="1" applyBorder="1" applyAlignment="1"/>
    <xf numFmtId="167" fontId="2" fillId="0" borderId="5" xfId="0" applyNumberFormat="1" applyFont="1" applyBorder="1" applyAlignment="1">
      <alignment horizontal="left" vertical="top" wrapText="1"/>
    </xf>
    <xf numFmtId="167" fontId="2" fillId="0" borderId="5" xfId="0" applyNumberFormat="1" applyFont="1" applyBorder="1" applyAlignment="1">
      <alignment horizontal="right" vertical="top" wrapText="1"/>
    </xf>
    <xf numFmtId="167" fontId="4" fillId="0" borderId="7" xfId="0" applyNumberFormat="1" applyFont="1" applyBorder="1" applyAlignment="1"/>
    <xf numFmtId="167" fontId="4" fillId="0" borderId="5" xfId="0" applyNumberFormat="1" applyFont="1" applyBorder="1" applyAlignment="1">
      <alignment horizontal="right" vertical="top" wrapText="1"/>
    </xf>
    <xf numFmtId="167" fontId="4" fillId="0" borderId="14" xfId="0" applyNumberFormat="1" applyFont="1" applyBorder="1" applyAlignment="1">
      <alignment horizontal="right" wrapText="1"/>
    </xf>
    <xf numFmtId="167" fontId="2" fillId="0" borderId="34" xfId="0" applyNumberFormat="1" applyFont="1" applyBorder="1" applyAlignment="1"/>
    <xf numFmtId="167" fontId="2" fillId="0" borderId="39" xfId="0" applyNumberFormat="1" applyFont="1" applyBorder="1" applyAlignment="1"/>
    <xf numFmtId="167" fontId="2" fillId="0" borderId="3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167" fontId="4" fillId="0" borderId="5" xfId="0" applyNumberFormat="1" applyFont="1" applyBorder="1" applyAlignment="1"/>
    <xf numFmtId="167" fontId="2" fillId="3" borderId="0" xfId="0" applyNumberFormat="1" applyFont="1" applyFill="1" applyAlignment="1">
      <alignment vertical="top" wrapText="1"/>
    </xf>
    <xf numFmtId="167" fontId="3" fillId="0" borderId="5" xfId="0" applyNumberFormat="1" applyFont="1" applyFill="1" applyBorder="1" applyAlignment="1">
      <alignment horizontal="left" vertical="top"/>
    </xf>
    <xf numFmtId="167" fontId="2" fillId="0" borderId="0" xfId="0" applyNumberFormat="1" applyFont="1" applyAlignment="1">
      <alignment horizontal="left" vertical="top" wrapText="1"/>
    </xf>
    <xf numFmtId="167" fontId="4" fillId="0" borderId="9" xfId="0" applyNumberFormat="1" applyFont="1" applyBorder="1" applyAlignment="1">
      <alignment horizontal="right" vertical="top" wrapText="1"/>
    </xf>
    <xf numFmtId="167" fontId="4" fillId="0" borderId="9" xfId="0" applyNumberFormat="1" applyFont="1" applyBorder="1" applyAlignment="1">
      <alignment horizontal="right" wrapText="1"/>
    </xf>
    <xf numFmtId="167" fontId="4" fillId="0" borderId="9" xfId="0" applyNumberFormat="1" applyFont="1" applyBorder="1" applyAlignment="1"/>
    <xf numFmtId="167" fontId="4" fillId="0" borderId="34" xfId="0" applyNumberFormat="1" applyFont="1" applyBorder="1" applyAlignment="1"/>
    <xf numFmtId="167" fontId="4" fillId="0" borderId="28" xfId="0" applyNumberFormat="1" applyFont="1" applyFill="1" applyBorder="1" applyAlignment="1"/>
    <xf numFmtId="167" fontId="4" fillId="0" borderId="9" xfId="0" applyNumberFormat="1" applyFont="1" applyFill="1" applyBorder="1" applyAlignment="1"/>
    <xf numFmtId="167" fontId="4" fillId="0" borderId="36" xfId="0" applyNumberFormat="1" applyFont="1" applyFill="1" applyBorder="1" applyAlignment="1"/>
    <xf numFmtId="169" fontId="2" fillId="0" borderId="5" xfId="0" applyNumberFormat="1" applyFont="1" applyBorder="1" applyAlignment="1">
      <alignment vertical="top" wrapText="1"/>
    </xf>
    <xf numFmtId="170" fontId="2" fillId="0" borderId="0" xfId="0" applyNumberFormat="1" applyFont="1" applyAlignment="1">
      <alignment vertical="top" wrapText="1"/>
    </xf>
    <xf numFmtId="171" fontId="2" fillId="0" borderId="0" xfId="0" applyNumberFormat="1" applyFont="1" applyAlignment="1">
      <alignment vertical="top" wrapText="1"/>
    </xf>
    <xf numFmtId="168" fontId="10" fillId="0" borderId="0" xfId="0" applyNumberFormat="1" applyFont="1" applyAlignment="1">
      <alignment vertical="top" wrapText="1"/>
    </xf>
    <xf numFmtId="38" fontId="4" fillId="2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4" fillId="0" borderId="5" xfId="0" applyNumberFormat="1" applyFont="1" applyBorder="1" applyAlignment="1">
      <alignment vertical="top"/>
    </xf>
    <xf numFmtId="166" fontId="4" fillId="0" borderId="0" xfId="0" applyNumberFormat="1" applyFont="1" applyAlignment="1">
      <alignment vertical="top" wrapText="1"/>
    </xf>
    <xf numFmtId="164" fontId="4" fillId="2" borderId="5" xfId="0" applyNumberFormat="1" applyFont="1" applyFill="1" applyBorder="1" applyAlignment="1">
      <alignment horizontal="right" vertical="top"/>
    </xf>
    <xf numFmtId="0" fontId="2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left"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17" xfId="0" applyNumberFormat="1" applyFont="1" applyFill="1" applyBorder="1" applyAlignment="1">
      <alignment horizontal="left" vertical="top" wrapText="1"/>
    </xf>
    <xf numFmtId="0" fontId="2" fillId="3" borderId="0" xfId="0" applyNumberFormat="1" applyFont="1" applyFill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3" borderId="30" xfId="0" applyNumberFormat="1" applyFont="1" applyFill="1" applyBorder="1" applyAlignment="1">
      <alignment horizontal="center" vertical="top" wrapText="1"/>
    </xf>
    <xf numFmtId="0" fontId="2" fillId="3" borderId="31" xfId="0" applyNumberFormat="1" applyFont="1" applyFill="1" applyBorder="1" applyAlignment="1">
      <alignment horizontal="center" vertical="top" wrapText="1"/>
    </xf>
    <xf numFmtId="1" fontId="2" fillId="0" borderId="30" xfId="0" applyNumberFormat="1" applyFont="1" applyBorder="1" applyAlignment="1">
      <alignment horizontal="center" vertical="top" wrapText="1"/>
    </xf>
    <xf numFmtId="1" fontId="2" fillId="0" borderId="31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2" fillId="2" borderId="33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3" borderId="5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00B0F0"/>
      <rgbColor rgb="FFFFFFFF"/>
      <rgbColor rgb="FF7F7F7F"/>
      <rgbColor rgb="FF0000FF"/>
      <rgbColor rgb="FFFF0000"/>
      <rgbColor rgb="FF165778"/>
      <rgbColor rgb="FF333333"/>
      <rgbColor rgb="FFFFCC99"/>
      <rgbColor rgb="FF99CC00"/>
      <rgbColor rgb="00000000"/>
      <rgbColor rgb="FFCCFFCC"/>
      <rgbColor rgb="FF548DD4"/>
      <rgbColor rgb="FF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56"/>
  <sheetViews>
    <sheetView showGridLines="0" tabSelected="1" zoomScale="70" zoomScaleNormal="70" workbookViewId="0">
      <selection activeCell="D11" sqref="D11"/>
    </sheetView>
  </sheetViews>
  <sheetFormatPr defaultColWidth="9.3984375" defaultRowHeight="12.75" customHeight="1" x14ac:dyDescent="0.2"/>
  <cols>
    <col min="1" max="1" width="1" style="21" customWidth="1"/>
    <col min="2" max="2" width="8.8984375" style="1" customWidth="1"/>
    <col min="3" max="3" width="12.19921875" style="73" customWidth="1"/>
    <col min="4" max="4" width="11.8984375" style="1" customWidth="1"/>
    <col min="5" max="5" width="3.59765625" style="1" customWidth="1"/>
    <col min="6" max="6" width="8" style="71" customWidth="1"/>
    <col min="7" max="7" width="10" style="71" customWidth="1"/>
    <col min="8" max="8" width="3.796875" style="1" customWidth="1"/>
    <col min="9" max="9" width="9.3984375" style="1" customWidth="1"/>
    <col min="10" max="10" width="8.69921875" style="1" customWidth="1"/>
    <col min="11" max="11" width="10.796875" style="1" customWidth="1"/>
    <col min="12" max="12" width="3.5" style="1" customWidth="1"/>
    <col min="13" max="13" width="9.5" style="1" customWidth="1"/>
    <col min="14" max="14" width="11" style="91" customWidth="1"/>
    <col min="15" max="15" width="9.5" style="1" customWidth="1"/>
    <col min="16" max="16" width="3.69921875" style="1" customWidth="1"/>
    <col min="17" max="17" width="11.69921875" style="25" customWidth="1"/>
    <col min="18" max="18" width="4.69921875" style="1" customWidth="1"/>
    <col min="19" max="19" width="10.69921875" style="1" customWidth="1"/>
    <col min="20" max="20" width="4.5" style="1" customWidth="1"/>
    <col min="21" max="21" width="14.19921875" style="25" bestFit="1" customWidth="1"/>
    <col min="22" max="22" width="11.69921875" style="1" customWidth="1"/>
    <col min="23" max="23" width="2.3984375" style="1" customWidth="1"/>
    <col min="24" max="251" width="9.3984375" style="1" customWidth="1"/>
    <col min="252" max="16384" width="9.3984375" style="21"/>
  </cols>
  <sheetData>
    <row r="1" spans="2:22" ht="14.25" x14ac:dyDescent="0.2">
      <c r="B1" s="15"/>
      <c r="C1" s="72"/>
      <c r="D1" s="15"/>
      <c r="E1" s="15"/>
      <c r="F1" s="15"/>
      <c r="G1" s="15"/>
      <c r="H1" s="15"/>
      <c r="I1" s="15"/>
      <c r="J1" s="15"/>
      <c r="K1" s="15"/>
      <c r="L1" s="15"/>
      <c r="M1" s="15"/>
      <c r="N1" s="83"/>
    </row>
    <row r="2" spans="2:22" ht="30.75" customHeight="1" x14ac:dyDescent="0.3">
      <c r="B2" s="112" t="s">
        <v>22</v>
      </c>
      <c r="C2" s="109"/>
      <c r="E2" s="22"/>
      <c r="F2" s="15"/>
      <c r="G2" s="15"/>
      <c r="H2" s="15"/>
      <c r="I2" s="15"/>
      <c r="J2" s="23"/>
      <c r="K2" s="15"/>
      <c r="L2" s="15"/>
      <c r="M2" s="16"/>
      <c r="N2" s="84"/>
    </row>
    <row r="3" spans="2:22" ht="18" customHeight="1" x14ac:dyDescent="0.2">
      <c r="E3" s="22"/>
      <c r="F3" s="15"/>
      <c r="G3" s="15"/>
      <c r="H3" s="15"/>
      <c r="I3" s="15"/>
      <c r="J3" s="23"/>
      <c r="K3" s="15"/>
      <c r="L3" s="15"/>
      <c r="M3" s="16"/>
      <c r="N3" s="84"/>
    </row>
    <row r="4" spans="2:22" ht="14.25" x14ac:dyDescent="0.2">
      <c r="B4" s="119" t="s">
        <v>24</v>
      </c>
      <c r="C4" s="120"/>
      <c r="D4" s="121"/>
      <c r="E4" s="15"/>
      <c r="F4" s="22" t="s">
        <v>19</v>
      </c>
      <c r="G4" s="15"/>
      <c r="H4" s="15"/>
      <c r="I4" s="15"/>
      <c r="J4" s="15"/>
      <c r="K4" s="22" t="s">
        <v>25</v>
      </c>
      <c r="L4" s="15"/>
      <c r="M4" s="15"/>
      <c r="N4" s="83"/>
      <c r="O4" s="15"/>
      <c r="P4" s="22" t="s">
        <v>23</v>
      </c>
      <c r="Q4" s="172"/>
      <c r="R4" s="15"/>
      <c r="S4" s="15"/>
      <c r="T4" s="15"/>
      <c r="U4" s="183" t="s">
        <v>26</v>
      </c>
      <c r="V4" s="24"/>
    </row>
    <row r="5" spans="2:22" ht="17.100000000000001" customHeight="1" x14ac:dyDescent="0.2">
      <c r="E5" s="15"/>
      <c r="F5" s="17"/>
      <c r="G5" s="17"/>
      <c r="H5" s="17"/>
      <c r="I5" s="17"/>
      <c r="J5" s="17"/>
      <c r="K5" s="17"/>
      <c r="L5" s="17"/>
      <c r="M5" s="17"/>
      <c r="N5" s="85"/>
      <c r="O5" s="17"/>
      <c r="P5" s="17"/>
      <c r="Q5" s="173"/>
      <c r="R5" s="17"/>
      <c r="S5" s="17"/>
      <c r="T5" s="17"/>
      <c r="U5" s="173"/>
      <c r="V5" s="18"/>
    </row>
    <row r="6" spans="2:22" ht="17.100000000000001" customHeight="1" x14ac:dyDescent="0.2">
      <c r="B6" s="210" t="s">
        <v>38</v>
      </c>
      <c r="C6" s="210"/>
      <c r="D6" s="113">
        <v>1000</v>
      </c>
      <c r="F6" s="124" t="s">
        <v>0</v>
      </c>
      <c r="G6" s="118"/>
      <c r="H6" s="118"/>
      <c r="I6" s="114">
        <v>1000</v>
      </c>
      <c r="K6" s="118" t="s">
        <v>10</v>
      </c>
      <c r="L6" s="118"/>
      <c r="M6" s="118"/>
      <c r="N6" s="115">
        <v>2.27</v>
      </c>
      <c r="P6" s="210" t="s">
        <v>32</v>
      </c>
      <c r="Q6" s="210"/>
      <c r="R6" s="210"/>
      <c r="S6" s="118">
        <v>0</v>
      </c>
      <c r="U6" s="184" t="s">
        <v>41</v>
      </c>
      <c r="V6" s="117">
        <v>10</v>
      </c>
    </row>
    <row r="7" spans="2:22" ht="16.5" customHeight="1" x14ac:dyDescent="0.2">
      <c r="B7" s="122" t="s">
        <v>30</v>
      </c>
      <c r="C7" s="123"/>
      <c r="D7" s="123">
        <v>0.05</v>
      </c>
      <c r="F7" s="219" t="s">
        <v>37</v>
      </c>
      <c r="G7" s="219"/>
      <c r="H7" s="219"/>
      <c r="I7" s="118">
        <v>880</v>
      </c>
      <c r="K7" s="128" t="s">
        <v>42</v>
      </c>
      <c r="L7" s="128"/>
      <c r="M7" s="118"/>
      <c r="N7" s="171">
        <v>2.75E-2</v>
      </c>
      <c r="Q7" s="174"/>
      <c r="U7" s="175"/>
      <c r="V7" s="8"/>
    </row>
    <row r="8" spans="2:22" ht="17.25" customHeight="1" x14ac:dyDescent="0.2">
      <c r="B8" s="200" t="s">
        <v>8</v>
      </c>
      <c r="C8" s="201"/>
      <c r="D8" s="202">
        <f>D6*I6</f>
        <v>1000000</v>
      </c>
      <c r="F8" s="125" t="s">
        <v>20</v>
      </c>
      <c r="G8" s="118"/>
      <c r="H8" s="118"/>
      <c r="I8" s="126">
        <v>0</v>
      </c>
      <c r="K8" s="129" t="s">
        <v>12</v>
      </c>
      <c r="L8" s="129"/>
      <c r="M8" s="118"/>
      <c r="N8" s="116">
        <v>10</v>
      </c>
      <c r="R8" s="4"/>
      <c r="S8" s="4"/>
      <c r="T8" s="4"/>
      <c r="U8" s="185"/>
    </row>
    <row r="9" spans="2:22" ht="15" customHeight="1" x14ac:dyDescent="0.2">
      <c r="B9" s="11" t="s">
        <v>17</v>
      </c>
      <c r="C9" s="74"/>
      <c r="D9" s="12">
        <f>IRR(U20:U45)</f>
        <v>0.10645587741545937</v>
      </c>
      <c r="F9" s="9" t="s">
        <v>6</v>
      </c>
      <c r="G9" s="9"/>
      <c r="H9" s="9"/>
      <c r="I9" s="5">
        <f>I6*I7</f>
        <v>880000</v>
      </c>
      <c r="K9" s="210" t="s">
        <v>31</v>
      </c>
      <c r="L9" s="210"/>
      <c r="M9" s="210"/>
      <c r="N9" s="171">
        <v>0.03</v>
      </c>
      <c r="R9" s="111"/>
      <c r="S9" s="111"/>
      <c r="T9" s="7"/>
      <c r="U9" s="186"/>
    </row>
    <row r="10" spans="2:22" ht="15" customHeight="1" x14ac:dyDescent="0.2">
      <c r="B10" s="208" t="s">
        <v>18</v>
      </c>
      <c r="C10" s="208"/>
      <c r="D10" s="13">
        <f>NPV(D7,U20:U45)</f>
        <v>666363.64418281976</v>
      </c>
      <c r="F10" s="10" t="s">
        <v>5</v>
      </c>
      <c r="G10" s="10"/>
      <c r="H10" s="10"/>
      <c r="I10" s="6">
        <f>(1-I8)*$I$9</f>
        <v>880000</v>
      </c>
      <c r="K10" s="210" t="s">
        <v>40</v>
      </c>
      <c r="L10" s="210"/>
      <c r="M10" s="210"/>
      <c r="N10" s="117">
        <v>4.95</v>
      </c>
      <c r="R10" s="111"/>
      <c r="S10" s="111"/>
      <c r="T10" s="7"/>
      <c r="U10" s="186"/>
    </row>
    <row r="11" spans="2:22" ht="15" customHeight="1" x14ac:dyDescent="0.2">
      <c r="B11" s="208" t="s">
        <v>43</v>
      </c>
      <c r="C11" s="208"/>
      <c r="D11" s="198">
        <f>(COUNTIF(V21:V245,"&lt;"&amp;D8)+1)</f>
        <v>10</v>
      </c>
      <c r="F11" s="3" t="s">
        <v>7</v>
      </c>
      <c r="G11" s="1"/>
      <c r="I11" s="6">
        <f>(I8)*$I$9</f>
        <v>0</v>
      </c>
      <c r="K11" s="199"/>
      <c r="L11" s="199"/>
      <c r="M11" s="199"/>
      <c r="N11" s="86"/>
      <c r="R11" s="170"/>
      <c r="S11" s="170"/>
      <c r="T11" s="170"/>
      <c r="U11" s="186"/>
    </row>
    <row r="12" spans="2:22" ht="15" customHeight="1" x14ac:dyDescent="0.2">
      <c r="B12" s="14"/>
      <c r="C12" s="75"/>
      <c r="D12" s="13"/>
      <c r="F12" s="21"/>
      <c r="G12" s="21"/>
      <c r="H12" s="21"/>
      <c r="I12" s="21"/>
      <c r="N12" s="86"/>
      <c r="R12" s="111"/>
      <c r="S12" s="111"/>
      <c r="T12" s="7"/>
      <c r="U12" s="186"/>
    </row>
    <row r="13" spans="2:22" ht="15" customHeight="1" x14ac:dyDescent="0.2">
      <c r="B13" s="209" t="s">
        <v>36</v>
      </c>
      <c r="C13" s="209"/>
      <c r="D13" s="209"/>
      <c r="N13" s="86"/>
      <c r="R13" s="111"/>
      <c r="S13" s="111"/>
      <c r="T13" s="7"/>
      <c r="U13" s="186"/>
    </row>
    <row r="14" spans="2:22" ht="15" customHeight="1" x14ac:dyDescent="0.2">
      <c r="B14" s="217" t="s">
        <v>34</v>
      </c>
      <c r="C14" s="217"/>
      <c r="D14" s="20">
        <f>SUM(G21:G40)</f>
        <v>496112.83502467821</v>
      </c>
      <c r="F14" s="3"/>
      <c r="H14" s="71"/>
      <c r="I14" s="73"/>
      <c r="N14" s="86"/>
      <c r="R14" s="111"/>
      <c r="S14" s="111"/>
      <c r="T14" s="7"/>
      <c r="U14" s="216" t="s">
        <v>29</v>
      </c>
      <c r="V14" s="216"/>
    </row>
    <row r="15" spans="2:22" ht="16.5" customHeight="1" x14ac:dyDescent="0.2">
      <c r="B15" s="218" t="s">
        <v>35</v>
      </c>
      <c r="C15" s="218"/>
      <c r="D15" s="20">
        <f>SUM(O21:O40)</f>
        <v>0</v>
      </c>
      <c r="F15" s="3"/>
      <c r="G15" s="1"/>
      <c r="I15" s="194"/>
      <c r="N15" s="86"/>
      <c r="R15" s="111"/>
      <c r="S15" s="111"/>
      <c r="T15" s="7"/>
      <c r="U15" s="212" t="s">
        <v>27</v>
      </c>
      <c r="V15" s="213"/>
    </row>
    <row r="16" spans="2:22" ht="15" customHeight="1" x14ac:dyDescent="0.2">
      <c r="B16" s="211" t="s">
        <v>33</v>
      </c>
      <c r="C16" s="211"/>
      <c r="D16" s="25">
        <f>D14+D15</f>
        <v>496112.83502467821</v>
      </c>
      <c r="F16" s="3"/>
      <c r="G16" s="8"/>
      <c r="I16" s="195"/>
      <c r="K16" s="197"/>
      <c r="L16" s="26"/>
      <c r="M16" s="26"/>
      <c r="N16" s="26"/>
      <c r="Q16" s="175"/>
      <c r="R16" s="26"/>
      <c r="S16" s="26"/>
      <c r="T16" s="26"/>
      <c r="U16" s="214" t="s">
        <v>28</v>
      </c>
      <c r="V16" s="215"/>
    </row>
    <row r="17" spans="2:251" ht="15.75" customHeight="1" x14ac:dyDescent="0.2">
      <c r="B17" s="211" t="s">
        <v>21</v>
      </c>
      <c r="C17" s="211"/>
      <c r="D17" s="108">
        <f>100*(SUM(Q21:Q45)+(1+D7)^D11*D8-D16)/SUM(D21:D45)</f>
        <v>7.1839471602147409</v>
      </c>
      <c r="F17" s="3"/>
      <c r="G17" s="8"/>
      <c r="I17" s="182"/>
      <c r="L17" s="26"/>
      <c r="M17" s="26"/>
      <c r="N17" s="26"/>
      <c r="Q17" s="175"/>
      <c r="R17" s="26"/>
      <c r="S17" s="26"/>
      <c r="T17" s="26"/>
      <c r="U17" s="175"/>
      <c r="V17" s="27"/>
    </row>
    <row r="18" spans="2:251" ht="17.100000000000001" customHeight="1" x14ac:dyDescent="0.2">
      <c r="B18" s="19"/>
      <c r="C18" s="76"/>
      <c r="D18" s="19"/>
      <c r="E18" s="19"/>
      <c r="F18" s="19"/>
      <c r="G18" s="15"/>
      <c r="H18" s="28"/>
      <c r="I18" s="196"/>
      <c r="J18" s="29"/>
      <c r="L18" s="30"/>
      <c r="M18" s="31"/>
      <c r="N18" s="87"/>
      <c r="O18" s="31"/>
      <c r="P18" s="32"/>
      <c r="Q18" s="176"/>
      <c r="R18" s="31"/>
      <c r="S18" s="31"/>
      <c r="T18" s="31"/>
      <c r="U18" s="176"/>
      <c r="V18" s="19"/>
    </row>
    <row r="19" spans="2:251" s="44" customFormat="1" ht="59.25" customHeight="1" x14ac:dyDescent="0.2">
      <c r="B19" s="33" t="s">
        <v>1</v>
      </c>
      <c r="C19" s="77" t="s">
        <v>9</v>
      </c>
      <c r="D19" s="34" t="s">
        <v>13</v>
      </c>
      <c r="E19" s="35"/>
      <c r="F19" s="36" t="s">
        <v>39</v>
      </c>
      <c r="G19" s="37" t="s">
        <v>2</v>
      </c>
      <c r="H19" s="38"/>
      <c r="I19" s="34" t="s">
        <v>44</v>
      </c>
      <c r="J19" s="34" t="s">
        <v>45</v>
      </c>
      <c r="K19" s="39" t="s">
        <v>46</v>
      </c>
      <c r="L19" s="35"/>
      <c r="M19" s="40" t="s">
        <v>11</v>
      </c>
      <c r="N19" s="41" t="s">
        <v>14</v>
      </c>
      <c r="O19" s="39" t="s">
        <v>4</v>
      </c>
      <c r="P19" s="37"/>
      <c r="Q19" s="177" t="s">
        <v>16</v>
      </c>
      <c r="R19" s="35"/>
      <c r="S19" s="35" t="s">
        <v>23</v>
      </c>
      <c r="T19" s="35"/>
      <c r="U19" s="187" t="s">
        <v>15</v>
      </c>
      <c r="V19" s="42" t="s">
        <v>3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</row>
    <row r="20" spans="2:251" ht="14.25" x14ac:dyDescent="0.2">
      <c r="B20" s="45">
        <v>0</v>
      </c>
      <c r="C20" s="78"/>
      <c r="D20" s="47"/>
      <c r="F20" s="46"/>
      <c r="G20" s="48"/>
      <c r="I20" s="46"/>
      <c r="J20" s="46"/>
      <c r="K20" s="49"/>
      <c r="M20" s="49"/>
      <c r="N20" s="49"/>
      <c r="O20" s="49"/>
      <c r="P20" s="49"/>
      <c r="Q20" s="178"/>
      <c r="R20" s="100"/>
      <c r="S20" s="100"/>
      <c r="T20" s="100"/>
      <c r="U20" s="188">
        <f>-1*D8</f>
        <v>-1000000</v>
      </c>
      <c r="V20" s="101"/>
    </row>
    <row r="21" spans="2:251" ht="15" customHeight="1" x14ac:dyDescent="0.2">
      <c r="B21" s="50">
        <v>1</v>
      </c>
      <c r="C21" s="79">
        <v>1</v>
      </c>
      <c r="D21" s="51">
        <f t="shared" ref="D21:D50" si="0">$I$9*C21</f>
        <v>880000</v>
      </c>
      <c r="E21" s="52"/>
      <c r="F21" s="53">
        <f t="shared" ref="F21:F40" si="1">$N$6*(1+$N$7)^B20</f>
        <v>2.27</v>
      </c>
      <c r="G21" s="92">
        <f>D21*F21/100</f>
        <v>19976</v>
      </c>
      <c r="H21" s="52"/>
      <c r="I21" s="51">
        <f t="shared" ref="I21:I50" si="2">IF(D21&lt;$I$10,D21,$I$10)</f>
        <v>880000</v>
      </c>
      <c r="J21" s="54">
        <f t="shared" ref="J21:J50" si="3">$N$8*(1+$N$9)^B20</f>
        <v>10</v>
      </c>
      <c r="K21" s="94">
        <f>I21*J21/100</f>
        <v>88000</v>
      </c>
      <c r="L21" s="52"/>
      <c r="M21" s="55">
        <f t="shared" ref="M21:M40" si="4">IF($I$11&lt;=0,0,D21-I21)</f>
        <v>0</v>
      </c>
      <c r="N21" s="88">
        <f t="shared" ref="N21:N40" si="5">$N$10*(1+$N$7)^B20</f>
        <v>4.95</v>
      </c>
      <c r="O21" s="98">
        <f>N21*M21/100</f>
        <v>0</v>
      </c>
      <c r="P21" s="56"/>
      <c r="Q21" s="98">
        <f>$V$6*$I$6*(1+N$7)^B20</f>
        <v>10000</v>
      </c>
      <c r="R21" s="102"/>
      <c r="S21" s="102">
        <f>$S$6*1.03^B20</f>
        <v>0</v>
      </c>
      <c r="T21" s="102"/>
      <c r="U21" s="189">
        <f>G21+K21+O21-Q21+S21</f>
        <v>97976</v>
      </c>
      <c r="V21" s="103">
        <f>U21</f>
        <v>97976</v>
      </c>
    </row>
    <row r="22" spans="2:251" ht="15" customHeight="1" x14ac:dyDescent="0.2">
      <c r="B22" s="57">
        <v>2</v>
      </c>
      <c r="C22" s="80">
        <f>C21-0.005</f>
        <v>0.995</v>
      </c>
      <c r="D22" s="51">
        <f t="shared" si="0"/>
        <v>875600</v>
      </c>
      <c r="E22" s="52"/>
      <c r="F22" s="53">
        <f t="shared" si="1"/>
        <v>2.3324250000000002</v>
      </c>
      <c r="G22" s="92">
        <f t="shared" ref="G22:G40" si="6">D22*F22/100</f>
        <v>20422.713299999999</v>
      </c>
      <c r="H22" s="52"/>
      <c r="I22" s="51">
        <f t="shared" si="2"/>
        <v>875600</v>
      </c>
      <c r="J22" s="54">
        <f t="shared" si="3"/>
        <v>10.3</v>
      </c>
      <c r="K22" s="95">
        <f t="shared" ref="K22:K50" si="7">I22*J22/100</f>
        <v>90186.8</v>
      </c>
      <c r="L22" s="52"/>
      <c r="M22" s="55">
        <f t="shared" si="4"/>
        <v>0</v>
      </c>
      <c r="N22" s="88">
        <f t="shared" si="5"/>
        <v>5.0861250000000009</v>
      </c>
      <c r="O22" s="98">
        <f t="shared" ref="O22:O40" si="8">N22*M22/100</f>
        <v>0</v>
      </c>
      <c r="P22" s="58"/>
      <c r="Q22" s="98">
        <f t="shared" ref="Q22:Q50" si="9">$V$6*$I$6*(1+N$7)^B21</f>
        <v>10275</v>
      </c>
      <c r="R22" s="102"/>
      <c r="S22" s="102">
        <f t="shared" ref="S22:S50" si="10">$S$6*1.03^B21</f>
        <v>0</v>
      </c>
      <c r="T22" s="102"/>
      <c r="U22" s="189">
        <f t="shared" ref="U22:U50" si="11">G22+K22+O22-Q22+S22</f>
        <v>100334.51330000001</v>
      </c>
      <c r="V22" s="103">
        <f t="shared" ref="V22:V50" si="12">V21+U22</f>
        <v>198310.51329999999</v>
      </c>
    </row>
    <row r="23" spans="2:251" ht="15" customHeight="1" x14ac:dyDescent="0.2">
      <c r="B23" s="57">
        <v>3</v>
      </c>
      <c r="C23" s="80">
        <f t="shared" ref="C23:C50" si="13">C22-0.005</f>
        <v>0.99</v>
      </c>
      <c r="D23" s="51">
        <f t="shared" si="0"/>
        <v>871200</v>
      </c>
      <c r="E23" s="52"/>
      <c r="F23" s="53">
        <f t="shared" si="1"/>
        <v>2.3965666875000005</v>
      </c>
      <c r="G23" s="92">
        <f t="shared" si="6"/>
        <v>20878.888981500004</v>
      </c>
      <c r="H23" s="52"/>
      <c r="I23" s="51">
        <f t="shared" si="2"/>
        <v>871200</v>
      </c>
      <c r="J23" s="54">
        <f t="shared" si="3"/>
        <v>10.609</v>
      </c>
      <c r="K23" s="95">
        <f t="shared" si="7"/>
        <v>92425.608000000007</v>
      </c>
      <c r="L23" s="52"/>
      <c r="M23" s="55">
        <f t="shared" si="4"/>
        <v>0</v>
      </c>
      <c r="N23" s="88">
        <f t="shared" si="5"/>
        <v>5.2259934375000014</v>
      </c>
      <c r="O23" s="98">
        <f t="shared" si="8"/>
        <v>0</v>
      </c>
      <c r="P23" s="58"/>
      <c r="Q23" s="98">
        <f t="shared" si="9"/>
        <v>10557.562500000002</v>
      </c>
      <c r="R23" s="102"/>
      <c r="S23" s="102">
        <f t="shared" si="10"/>
        <v>0</v>
      </c>
      <c r="T23" s="102"/>
      <c r="U23" s="189">
        <f t="shared" si="11"/>
        <v>102746.93448150001</v>
      </c>
      <c r="V23" s="103">
        <f t="shared" si="12"/>
        <v>301057.4477815</v>
      </c>
    </row>
    <row r="24" spans="2:251" ht="15" customHeight="1" x14ac:dyDescent="0.2">
      <c r="B24" s="57">
        <v>4</v>
      </c>
      <c r="C24" s="80">
        <f t="shared" si="13"/>
        <v>0.98499999999999999</v>
      </c>
      <c r="D24" s="51">
        <f t="shared" si="0"/>
        <v>866800</v>
      </c>
      <c r="E24" s="52"/>
      <c r="F24" s="53">
        <f t="shared" si="1"/>
        <v>2.4624722714062504</v>
      </c>
      <c r="G24" s="92">
        <f t="shared" si="6"/>
        <v>21344.709648549378</v>
      </c>
      <c r="H24" s="52"/>
      <c r="I24" s="51">
        <f t="shared" si="2"/>
        <v>866800</v>
      </c>
      <c r="J24" s="54">
        <f t="shared" si="3"/>
        <v>10.92727</v>
      </c>
      <c r="K24" s="95">
        <f t="shared" si="7"/>
        <v>94717.576360000006</v>
      </c>
      <c r="L24" s="52"/>
      <c r="M24" s="55">
        <f t="shared" si="4"/>
        <v>0</v>
      </c>
      <c r="N24" s="88">
        <f t="shared" si="5"/>
        <v>5.3697082570312507</v>
      </c>
      <c r="O24" s="98">
        <f t="shared" si="8"/>
        <v>0</v>
      </c>
      <c r="P24" s="58"/>
      <c r="Q24" s="98">
        <f t="shared" si="9"/>
        <v>10847.895468750001</v>
      </c>
      <c r="R24" s="102"/>
      <c r="S24" s="102">
        <f t="shared" si="10"/>
        <v>0</v>
      </c>
      <c r="T24" s="102"/>
      <c r="U24" s="189">
        <f t="shared" si="11"/>
        <v>105214.39053979938</v>
      </c>
      <c r="V24" s="103">
        <f t="shared" si="12"/>
        <v>406271.83832129941</v>
      </c>
    </row>
    <row r="25" spans="2:251" ht="15" customHeight="1" x14ac:dyDescent="0.2">
      <c r="B25" s="57">
        <v>5</v>
      </c>
      <c r="C25" s="80">
        <f t="shared" si="13"/>
        <v>0.98</v>
      </c>
      <c r="D25" s="51">
        <f t="shared" si="0"/>
        <v>862400</v>
      </c>
      <c r="E25" s="52"/>
      <c r="F25" s="53">
        <f t="shared" si="1"/>
        <v>2.5301902588699225</v>
      </c>
      <c r="G25" s="92">
        <f t="shared" si="6"/>
        <v>21820.360792494212</v>
      </c>
      <c r="H25" s="52"/>
      <c r="I25" s="51">
        <f t="shared" si="2"/>
        <v>862400</v>
      </c>
      <c r="J25" s="54">
        <f t="shared" si="3"/>
        <v>11.255088099999998</v>
      </c>
      <c r="K25" s="95">
        <f t="shared" si="7"/>
        <v>97063.879774399975</v>
      </c>
      <c r="L25" s="52"/>
      <c r="M25" s="55">
        <f t="shared" si="4"/>
        <v>0</v>
      </c>
      <c r="N25" s="88">
        <f t="shared" si="5"/>
        <v>5.5173752340996112</v>
      </c>
      <c r="O25" s="98">
        <f t="shared" si="8"/>
        <v>0</v>
      </c>
      <c r="P25" s="58"/>
      <c r="Q25" s="98">
        <f t="shared" si="9"/>
        <v>11146.212594140628</v>
      </c>
      <c r="R25" s="102"/>
      <c r="S25" s="102">
        <f t="shared" si="10"/>
        <v>0</v>
      </c>
      <c r="T25" s="102"/>
      <c r="U25" s="189">
        <f t="shared" si="11"/>
        <v>107738.02797275355</v>
      </c>
      <c r="V25" s="103">
        <f t="shared" si="12"/>
        <v>514009.86629405298</v>
      </c>
    </row>
    <row r="26" spans="2:251" ht="15" customHeight="1" x14ac:dyDescent="0.2">
      <c r="B26" s="57">
        <v>6</v>
      </c>
      <c r="C26" s="80">
        <f t="shared" si="13"/>
        <v>0.97499999999999998</v>
      </c>
      <c r="D26" s="51">
        <f t="shared" si="0"/>
        <v>858000</v>
      </c>
      <c r="E26" s="52"/>
      <c r="F26" s="53">
        <f t="shared" si="1"/>
        <v>2.5997704909888459</v>
      </c>
      <c r="G26" s="92">
        <f t="shared" si="6"/>
        <v>22306.030812684297</v>
      </c>
      <c r="H26" s="52"/>
      <c r="I26" s="51">
        <f t="shared" si="2"/>
        <v>858000</v>
      </c>
      <c r="J26" s="54">
        <f t="shared" si="3"/>
        <v>11.592740742999998</v>
      </c>
      <c r="K26" s="95">
        <f t="shared" si="7"/>
        <v>99465.715574939997</v>
      </c>
      <c r="L26" s="52"/>
      <c r="M26" s="55">
        <f t="shared" si="4"/>
        <v>0</v>
      </c>
      <c r="N26" s="88">
        <f t="shared" si="5"/>
        <v>5.6691030530373512</v>
      </c>
      <c r="O26" s="98">
        <f t="shared" si="8"/>
        <v>0</v>
      </c>
      <c r="P26" s="58"/>
      <c r="Q26" s="98">
        <f t="shared" si="9"/>
        <v>11452.733440479496</v>
      </c>
      <c r="R26" s="102"/>
      <c r="S26" s="102">
        <f t="shared" si="10"/>
        <v>0</v>
      </c>
      <c r="T26" s="102"/>
      <c r="U26" s="189">
        <f t="shared" si="11"/>
        <v>110319.0129471448</v>
      </c>
      <c r="V26" s="103">
        <f t="shared" si="12"/>
        <v>624328.87924119784</v>
      </c>
    </row>
    <row r="27" spans="2:251" ht="15" customHeight="1" x14ac:dyDescent="0.2">
      <c r="B27" s="57">
        <v>7</v>
      </c>
      <c r="C27" s="80">
        <f t="shared" si="13"/>
        <v>0.97</v>
      </c>
      <c r="D27" s="51">
        <f t="shared" si="0"/>
        <v>853600</v>
      </c>
      <c r="E27" s="52"/>
      <c r="F27" s="53">
        <f t="shared" si="1"/>
        <v>2.6712641794910392</v>
      </c>
      <c r="G27" s="92">
        <f t="shared" si="6"/>
        <v>22801.911036135512</v>
      </c>
      <c r="H27" s="52"/>
      <c r="I27" s="51">
        <f t="shared" si="2"/>
        <v>853600</v>
      </c>
      <c r="J27" s="54">
        <f t="shared" si="3"/>
        <v>11.940522965289999</v>
      </c>
      <c r="K27" s="95">
        <f t="shared" si="7"/>
        <v>101924.30403171544</v>
      </c>
      <c r="L27" s="52"/>
      <c r="M27" s="55">
        <f t="shared" si="4"/>
        <v>0</v>
      </c>
      <c r="N27" s="88">
        <f t="shared" si="5"/>
        <v>5.8250033869958786</v>
      </c>
      <c r="O27" s="98">
        <f t="shared" si="8"/>
        <v>0</v>
      </c>
      <c r="P27" s="58"/>
      <c r="Q27" s="98">
        <f t="shared" si="9"/>
        <v>11767.683610092683</v>
      </c>
      <c r="R27" s="102"/>
      <c r="S27" s="102">
        <f t="shared" si="10"/>
        <v>0</v>
      </c>
      <c r="T27" s="102"/>
      <c r="U27" s="189">
        <f t="shared" si="11"/>
        <v>112958.53145775826</v>
      </c>
      <c r="V27" s="103">
        <f t="shared" si="12"/>
        <v>737287.41069895611</v>
      </c>
    </row>
    <row r="28" spans="2:251" ht="15" customHeight="1" x14ac:dyDescent="0.2">
      <c r="B28" s="57">
        <v>8</v>
      </c>
      <c r="C28" s="80">
        <f t="shared" si="13"/>
        <v>0.96499999999999997</v>
      </c>
      <c r="D28" s="51">
        <f t="shared" si="0"/>
        <v>849200</v>
      </c>
      <c r="E28" s="52"/>
      <c r="F28" s="53">
        <f t="shared" si="1"/>
        <v>2.7447239444270424</v>
      </c>
      <c r="G28" s="92">
        <f t="shared" si="6"/>
        <v>23308.195736074442</v>
      </c>
      <c r="H28" s="52"/>
      <c r="I28" s="51">
        <f t="shared" si="2"/>
        <v>849200</v>
      </c>
      <c r="J28" s="54">
        <f t="shared" si="3"/>
        <v>12.2987386542487</v>
      </c>
      <c r="K28" s="95">
        <f t="shared" si="7"/>
        <v>104440.88865187996</v>
      </c>
      <c r="L28" s="52"/>
      <c r="M28" s="55">
        <f t="shared" si="4"/>
        <v>0</v>
      </c>
      <c r="N28" s="88">
        <f t="shared" si="5"/>
        <v>5.985190980138265</v>
      </c>
      <c r="O28" s="98">
        <f t="shared" si="8"/>
        <v>0</v>
      </c>
      <c r="P28" s="58"/>
      <c r="Q28" s="98">
        <f t="shared" si="9"/>
        <v>12091.294909370232</v>
      </c>
      <c r="R28" s="102"/>
      <c r="S28" s="102">
        <f t="shared" si="10"/>
        <v>0</v>
      </c>
      <c r="T28" s="102"/>
      <c r="U28" s="189">
        <f t="shared" si="11"/>
        <v>115657.78947858416</v>
      </c>
      <c r="V28" s="103">
        <f t="shared" si="12"/>
        <v>852945.2001775403</v>
      </c>
    </row>
    <row r="29" spans="2:251" ht="15" customHeight="1" x14ac:dyDescent="0.2">
      <c r="B29" s="57">
        <v>9</v>
      </c>
      <c r="C29" s="80">
        <f t="shared" si="13"/>
        <v>0.96</v>
      </c>
      <c r="D29" s="51">
        <f t="shared" si="0"/>
        <v>844800</v>
      </c>
      <c r="E29" s="52"/>
      <c r="F29" s="53">
        <f t="shared" si="1"/>
        <v>2.8202038528987861</v>
      </c>
      <c r="G29" s="92">
        <f t="shared" si="6"/>
        <v>23825.082149288944</v>
      </c>
      <c r="H29" s="52"/>
      <c r="I29" s="51">
        <f t="shared" si="2"/>
        <v>844800</v>
      </c>
      <c r="J29" s="54">
        <f t="shared" si="3"/>
        <v>12.667700813876159</v>
      </c>
      <c r="K29" s="95">
        <f t="shared" si="7"/>
        <v>107016.7364756258</v>
      </c>
      <c r="L29" s="52"/>
      <c r="M29" s="55">
        <f t="shared" si="4"/>
        <v>0</v>
      </c>
      <c r="N29" s="88">
        <f t="shared" si="5"/>
        <v>6.1497837320920672</v>
      </c>
      <c r="O29" s="98">
        <f t="shared" si="8"/>
        <v>0</v>
      </c>
      <c r="P29" s="58"/>
      <c r="Q29" s="98">
        <f t="shared" si="9"/>
        <v>12423.805519377913</v>
      </c>
      <c r="R29" s="102"/>
      <c r="S29" s="102">
        <f t="shared" si="10"/>
        <v>0</v>
      </c>
      <c r="T29" s="102"/>
      <c r="U29" s="189">
        <f t="shared" si="11"/>
        <v>118418.01310553683</v>
      </c>
      <c r="V29" s="103">
        <f t="shared" si="12"/>
        <v>971363.21328307712</v>
      </c>
    </row>
    <row r="30" spans="2:251" ht="15" customHeight="1" x14ac:dyDescent="0.2">
      <c r="B30" s="57">
        <v>10</v>
      </c>
      <c r="C30" s="80">
        <f t="shared" si="13"/>
        <v>0.95499999999999996</v>
      </c>
      <c r="D30" s="51">
        <f t="shared" si="0"/>
        <v>840400</v>
      </c>
      <c r="E30" s="52"/>
      <c r="F30" s="53">
        <f t="shared" si="1"/>
        <v>2.8977594588535034</v>
      </c>
      <c r="G30" s="92">
        <f t="shared" si="6"/>
        <v>24352.770492204843</v>
      </c>
      <c r="H30" s="52"/>
      <c r="I30" s="51">
        <f t="shared" si="2"/>
        <v>840400</v>
      </c>
      <c r="J30" s="54">
        <f t="shared" si="3"/>
        <v>13.047731838292444</v>
      </c>
      <c r="K30" s="95">
        <f t="shared" si="7"/>
        <v>109653.1383690097</v>
      </c>
      <c r="L30" s="52"/>
      <c r="M30" s="55">
        <f t="shared" si="4"/>
        <v>0</v>
      </c>
      <c r="N30" s="88">
        <f t="shared" si="5"/>
        <v>6.3189027847245995</v>
      </c>
      <c r="O30" s="98">
        <f t="shared" si="8"/>
        <v>0</v>
      </c>
      <c r="P30" s="58"/>
      <c r="Q30" s="98">
        <f t="shared" si="9"/>
        <v>12765.460171160807</v>
      </c>
      <c r="R30" s="102"/>
      <c r="S30" s="102">
        <f t="shared" si="10"/>
        <v>0</v>
      </c>
      <c r="T30" s="102"/>
      <c r="U30" s="189">
        <f t="shared" si="11"/>
        <v>121240.44869005372</v>
      </c>
      <c r="V30" s="103">
        <f t="shared" si="12"/>
        <v>1092603.6619731309</v>
      </c>
    </row>
    <row r="31" spans="2:251" ht="15" customHeight="1" x14ac:dyDescent="0.2">
      <c r="B31" s="57">
        <v>11</v>
      </c>
      <c r="C31" s="80">
        <f t="shared" si="13"/>
        <v>0.95</v>
      </c>
      <c r="D31" s="51">
        <f t="shared" si="0"/>
        <v>836000</v>
      </c>
      <c r="E31" s="52"/>
      <c r="F31" s="53">
        <f t="shared" si="1"/>
        <v>2.9774478439719747</v>
      </c>
      <c r="G31" s="92">
        <f t="shared" si="6"/>
        <v>24891.463975605708</v>
      </c>
      <c r="H31" s="52"/>
      <c r="I31" s="51">
        <f t="shared" si="2"/>
        <v>836000</v>
      </c>
      <c r="J31" s="54">
        <f t="shared" si="3"/>
        <v>13.439163793441217</v>
      </c>
      <c r="K31" s="95">
        <f t="shared" si="7"/>
        <v>112351.40931316858</v>
      </c>
      <c r="L31" s="52"/>
      <c r="M31" s="55">
        <f t="shared" si="4"/>
        <v>0</v>
      </c>
      <c r="N31" s="88">
        <f t="shared" si="5"/>
        <v>6.4926726113045268</v>
      </c>
      <c r="O31" s="98">
        <f t="shared" si="8"/>
        <v>0</v>
      </c>
      <c r="P31" s="58"/>
      <c r="Q31" s="98">
        <f t="shared" si="9"/>
        <v>13116.51032586773</v>
      </c>
      <c r="R31" s="102"/>
      <c r="S31" s="102">
        <f t="shared" si="10"/>
        <v>0</v>
      </c>
      <c r="T31" s="102"/>
      <c r="U31" s="189">
        <f t="shared" si="11"/>
        <v>124126.36296290655</v>
      </c>
      <c r="V31" s="103">
        <f t="shared" si="12"/>
        <v>1216730.0249360374</v>
      </c>
    </row>
    <row r="32" spans="2:251" ht="15" customHeight="1" x14ac:dyDescent="0.2">
      <c r="B32" s="57">
        <v>12</v>
      </c>
      <c r="C32" s="80">
        <f t="shared" si="13"/>
        <v>0.94499999999999995</v>
      </c>
      <c r="D32" s="51">
        <f t="shared" si="0"/>
        <v>831600</v>
      </c>
      <c r="E32" s="52"/>
      <c r="F32" s="53">
        <f t="shared" si="1"/>
        <v>3.059327659681204</v>
      </c>
      <c r="G32" s="92">
        <f t="shared" si="6"/>
        <v>25441.368817908893</v>
      </c>
      <c r="H32" s="52"/>
      <c r="I32" s="51">
        <f t="shared" si="2"/>
        <v>831600</v>
      </c>
      <c r="J32" s="54">
        <f t="shared" si="3"/>
        <v>13.842338707244455</v>
      </c>
      <c r="K32" s="95">
        <f t="shared" si="7"/>
        <v>115112.88868944488</v>
      </c>
      <c r="L32" s="52"/>
      <c r="M32" s="55">
        <f t="shared" si="4"/>
        <v>0</v>
      </c>
      <c r="N32" s="88">
        <f t="shared" si="5"/>
        <v>6.6712211081154011</v>
      </c>
      <c r="O32" s="98">
        <f t="shared" si="8"/>
        <v>0</v>
      </c>
      <c r="P32" s="58"/>
      <c r="Q32" s="98">
        <f t="shared" si="9"/>
        <v>13477.214359829093</v>
      </c>
      <c r="R32" s="102"/>
      <c r="S32" s="102">
        <f t="shared" si="10"/>
        <v>0</v>
      </c>
      <c r="T32" s="102"/>
      <c r="U32" s="189">
        <f t="shared" si="11"/>
        <v>127077.0431475247</v>
      </c>
      <c r="V32" s="103">
        <f t="shared" si="12"/>
        <v>1343807.068083562</v>
      </c>
    </row>
    <row r="33" spans="1:22" ht="15" customHeight="1" x14ac:dyDescent="0.2">
      <c r="B33" s="57">
        <v>13</v>
      </c>
      <c r="C33" s="80">
        <f t="shared" si="13"/>
        <v>0.94</v>
      </c>
      <c r="D33" s="51">
        <f t="shared" si="0"/>
        <v>827200</v>
      </c>
      <c r="E33" s="52"/>
      <c r="F33" s="53">
        <f t="shared" si="1"/>
        <v>3.143459170322437</v>
      </c>
      <c r="G33" s="92">
        <f t="shared" si="6"/>
        <v>26002.694256907198</v>
      </c>
      <c r="H33" s="52"/>
      <c r="I33" s="51">
        <f t="shared" si="2"/>
        <v>827200</v>
      </c>
      <c r="J33" s="54">
        <f t="shared" si="3"/>
        <v>14.257608868461787</v>
      </c>
      <c r="K33" s="95">
        <f t="shared" si="7"/>
        <v>117938.94055991591</v>
      </c>
      <c r="L33" s="52"/>
      <c r="M33" s="55">
        <f t="shared" si="4"/>
        <v>0</v>
      </c>
      <c r="N33" s="88">
        <f t="shared" si="5"/>
        <v>6.8546796885885746</v>
      </c>
      <c r="O33" s="98">
        <f t="shared" si="8"/>
        <v>0</v>
      </c>
      <c r="P33" s="58"/>
      <c r="Q33" s="98">
        <f t="shared" si="9"/>
        <v>13847.837754724393</v>
      </c>
      <c r="R33" s="102"/>
      <c r="S33" s="102">
        <f t="shared" si="10"/>
        <v>0</v>
      </c>
      <c r="T33" s="102"/>
      <c r="U33" s="189">
        <f t="shared" si="11"/>
        <v>130093.79706209873</v>
      </c>
      <c r="V33" s="103">
        <f t="shared" si="12"/>
        <v>1473900.8651456607</v>
      </c>
    </row>
    <row r="34" spans="1:22" ht="15" customHeight="1" x14ac:dyDescent="0.2">
      <c r="B34" s="57">
        <v>14</v>
      </c>
      <c r="C34" s="80">
        <f t="shared" si="13"/>
        <v>0.93499999999999994</v>
      </c>
      <c r="D34" s="51">
        <f t="shared" si="0"/>
        <v>822800</v>
      </c>
      <c r="E34" s="52"/>
      <c r="F34" s="53">
        <f t="shared" si="1"/>
        <v>3.2299042975063048</v>
      </c>
      <c r="G34" s="92">
        <f t="shared" si="6"/>
        <v>26575.652559881877</v>
      </c>
      <c r="H34" s="52"/>
      <c r="I34" s="51">
        <f t="shared" si="2"/>
        <v>822800</v>
      </c>
      <c r="J34" s="54">
        <f t="shared" si="3"/>
        <v>14.685337134515638</v>
      </c>
      <c r="K34" s="95">
        <f t="shared" si="7"/>
        <v>120830.95394279467</v>
      </c>
      <c r="L34" s="52"/>
      <c r="M34" s="55">
        <f t="shared" si="4"/>
        <v>0</v>
      </c>
      <c r="N34" s="88">
        <f t="shared" si="5"/>
        <v>7.0431833800247619</v>
      </c>
      <c r="O34" s="98">
        <f t="shared" si="8"/>
        <v>0</v>
      </c>
      <c r="P34" s="58"/>
      <c r="Q34" s="98">
        <f t="shared" si="9"/>
        <v>14228.653292979316</v>
      </c>
      <c r="R34" s="102"/>
      <c r="S34" s="102">
        <f t="shared" si="10"/>
        <v>0</v>
      </c>
      <c r="T34" s="102"/>
      <c r="U34" s="189">
        <f t="shared" si="11"/>
        <v>133177.95320969724</v>
      </c>
      <c r="V34" s="103">
        <f t="shared" si="12"/>
        <v>1607078.818355358</v>
      </c>
    </row>
    <row r="35" spans="1:22" ht="15" customHeight="1" x14ac:dyDescent="0.2">
      <c r="B35" s="57">
        <v>15</v>
      </c>
      <c r="C35" s="80">
        <f t="shared" si="13"/>
        <v>0.92999999999999994</v>
      </c>
      <c r="D35" s="51">
        <f t="shared" si="0"/>
        <v>818400</v>
      </c>
      <c r="E35" s="52"/>
      <c r="F35" s="53">
        <f t="shared" si="1"/>
        <v>3.3187266656877283</v>
      </c>
      <c r="G35" s="92">
        <f t="shared" si="6"/>
        <v>27160.459031988368</v>
      </c>
      <c r="H35" s="52"/>
      <c r="I35" s="51">
        <f t="shared" si="2"/>
        <v>818400</v>
      </c>
      <c r="J35" s="54">
        <f t="shared" si="3"/>
        <v>15.125897248551111</v>
      </c>
      <c r="K35" s="95">
        <f t="shared" si="7"/>
        <v>123790.34308214228</v>
      </c>
      <c r="L35" s="52"/>
      <c r="M35" s="55">
        <f t="shared" si="4"/>
        <v>0</v>
      </c>
      <c r="N35" s="88">
        <f t="shared" si="5"/>
        <v>7.2368709229754433</v>
      </c>
      <c r="O35" s="98">
        <f t="shared" si="8"/>
        <v>0</v>
      </c>
      <c r="P35" s="58"/>
      <c r="Q35" s="98">
        <f t="shared" si="9"/>
        <v>14619.941258536248</v>
      </c>
      <c r="R35" s="102"/>
      <c r="S35" s="102">
        <f t="shared" si="10"/>
        <v>0</v>
      </c>
      <c r="T35" s="102"/>
      <c r="U35" s="189">
        <f t="shared" si="11"/>
        <v>136330.86085559439</v>
      </c>
      <c r="V35" s="103">
        <f t="shared" si="12"/>
        <v>1743409.6792109525</v>
      </c>
    </row>
    <row r="36" spans="1:22" ht="15" customHeight="1" x14ac:dyDescent="0.2">
      <c r="B36" s="57">
        <v>16</v>
      </c>
      <c r="C36" s="80">
        <f t="shared" si="13"/>
        <v>0.92499999999999993</v>
      </c>
      <c r="D36" s="51">
        <f t="shared" si="0"/>
        <v>813999.99999999988</v>
      </c>
      <c r="E36" s="52"/>
      <c r="F36" s="53">
        <f t="shared" si="1"/>
        <v>3.4099916489941409</v>
      </c>
      <c r="G36" s="92">
        <f t="shared" si="6"/>
        <v>27757.332022812301</v>
      </c>
      <c r="H36" s="52"/>
      <c r="I36" s="51">
        <f t="shared" si="2"/>
        <v>813999.99999999988</v>
      </c>
      <c r="J36" s="54">
        <f t="shared" si="3"/>
        <v>15.579674166007644</v>
      </c>
      <c r="K36" s="95">
        <f t="shared" si="7"/>
        <v>126818.54771130221</v>
      </c>
      <c r="L36" s="52"/>
      <c r="M36" s="55">
        <f t="shared" si="4"/>
        <v>0</v>
      </c>
      <c r="N36" s="88">
        <f t="shared" si="5"/>
        <v>7.4358848733572671</v>
      </c>
      <c r="O36" s="98">
        <f t="shared" si="8"/>
        <v>0</v>
      </c>
      <c r="P36" s="58"/>
      <c r="Q36" s="98">
        <f t="shared" si="9"/>
        <v>15021.989643145995</v>
      </c>
      <c r="R36" s="102"/>
      <c r="S36" s="102">
        <f t="shared" si="10"/>
        <v>0</v>
      </c>
      <c r="T36" s="102"/>
      <c r="U36" s="189">
        <f t="shared" si="11"/>
        <v>139553.89009096852</v>
      </c>
      <c r="V36" s="103">
        <f t="shared" si="12"/>
        <v>1882963.5693019209</v>
      </c>
    </row>
    <row r="37" spans="1:22" ht="15" customHeight="1" x14ac:dyDescent="0.2">
      <c r="B37" s="57">
        <v>17</v>
      </c>
      <c r="C37" s="80">
        <f t="shared" si="13"/>
        <v>0.91999999999999993</v>
      </c>
      <c r="D37" s="51">
        <f t="shared" si="0"/>
        <v>809599.99999999988</v>
      </c>
      <c r="E37" s="52"/>
      <c r="F37" s="53">
        <f t="shared" si="1"/>
        <v>3.5037664193414795</v>
      </c>
      <c r="G37" s="92">
        <f t="shared" si="6"/>
        <v>28366.492930988614</v>
      </c>
      <c r="H37" s="52"/>
      <c r="I37" s="51">
        <f t="shared" si="2"/>
        <v>809599.99999999988</v>
      </c>
      <c r="J37" s="54">
        <f t="shared" si="3"/>
        <v>16.04706439098787</v>
      </c>
      <c r="K37" s="95">
        <f t="shared" si="7"/>
        <v>129917.03330943779</v>
      </c>
      <c r="L37" s="52"/>
      <c r="M37" s="55">
        <f t="shared" si="4"/>
        <v>0</v>
      </c>
      <c r="N37" s="88">
        <f t="shared" si="5"/>
        <v>7.6403717073745918</v>
      </c>
      <c r="O37" s="98">
        <f t="shared" si="8"/>
        <v>0</v>
      </c>
      <c r="P37" s="58"/>
      <c r="Q37" s="98">
        <f t="shared" si="9"/>
        <v>15435.094358332508</v>
      </c>
      <c r="R37" s="102"/>
      <c r="S37" s="102">
        <f t="shared" si="10"/>
        <v>0</v>
      </c>
      <c r="T37" s="102"/>
      <c r="U37" s="189">
        <f t="shared" si="11"/>
        <v>142848.43188209389</v>
      </c>
      <c r="V37" s="103">
        <f t="shared" si="12"/>
        <v>2025812.0011840148</v>
      </c>
    </row>
    <row r="38" spans="1:22" ht="15" customHeight="1" x14ac:dyDescent="0.2">
      <c r="B38" s="57">
        <v>18</v>
      </c>
      <c r="C38" s="80">
        <f t="shared" si="13"/>
        <v>0.91499999999999992</v>
      </c>
      <c r="D38" s="51">
        <f t="shared" si="0"/>
        <v>805199.99999999988</v>
      </c>
      <c r="E38" s="52"/>
      <c r="F38" s="53">
        <f t="shared" si="1"/>
        <v>3.6001199958733703</v>
      </c>
      <c r="G38" s="92">
        <f t="shared" si="6"/>
        <v>28988.166206772374</v>
      </c>
      <c r="H38" s="52"/>
      <c r="I38" s="51">
        <f t="shared" si="2"/>
        <v>805199.99999999988</v>
      </c>
      <c r="J38" s="54">
        <f t="shared" si="3"/>
        <v>16.528476322717506</v>
      </c>
      <c r="K38" s="95">
        <f t="shared" si="7"/>
        <v>133087.29135052132</v>
      </c>
      <c r="L38" s="52"/>
      <c r="M38" s="55">
        <f t="shared" si="4"/>
        <v>0</v>
      </c>
      <c r="N38" s="88">
        <f t="shared" si="5"/>
        <v>7.850481929327394</v>
      </c>
      <c r="O38" s="98">
        <f t="shared" si="8"/>
        <v>0</v>
      </c>
      <c r="P38" s="58"/>
      <c r="Q38" s="98">
        <f t="shared" si="9"/>
        <v>15859.559453186654</v>
      </c>
      <c r="R38" s="102"/>
      <c r="S38" s="102">
        <f t="shared" si="10"/>
        <v>0</v>
      </c>
      <c r="T38" s="102"/>
      <c r="U38" s="189">
        <f t="shared" si="11"/>
        <v>146215.89810410704</v>
      </c>
      <c r="V38" s="103">
        <f t="shared" si="12"/>
        <v>2172027.8992881221</v>
      </c>
    </row>
    <row r="39" spans="1:22" ht="15" customHeight="1" x14ac:dyDescent="0.2">
      <c r="B39" s="59">
        <v>19</v>
      </c>
      <c r="C39" s="80">
        <f t="shared" si="13"/>
        <v>0.90999999999999992</v>
      </c>
      <c r="D39" s="51">
        <f t="shared" si="0"/>
        <v>800799.99999999988</v>
      </c>
      <c r="E39" s="60"/>
      <c r="F39" s="61">
        <f t="shared" si="1"/>
        <v>3.6991232957598887</v>
      </c>
      <c r="G39" s="92">
        <f t="shared" si="6"/>
        <v>29622.579352445184</v>
      </c>
      <c r="H39" s="60"/>
      <c r="I39" s="51">
        <f t="shared" si="2"/>
        <v>800799.99999999988</v>
      </c>
      <c r="J39" s="62">
        <f t="shared" si="3"/>
        <v>17.024330612399034</v>
      </c>
      <c r="K39" s="96">
        <f t="shared" si="7"/>
        <v>136330.83954409146</v>
      </c>
      <c r="L39" s="60"/>
      <c r="M39" s="55">
        <f t="shared" si="4"/>
        <v>0</v>
      </c>
      <c r="N39" s="88">
        <f t="shared" si="5"/>
        <v>8.0663701823838974</v>
      </c>
      <c r="O39" s="98">
        <f t="shared" si="8"/>
        <v>0</v>
      </c>
      <c r="P39" s="63"/>
      <c r="Q39" s="98">
        <f t="shared" si="9"/>
        <v>16295.697338149288</v>
      </c>
      <c r="R39" s="102"/>
      <c r="S39" s="102">
        <f t="shared" si="10"/>
        <v>0</v>
      </c>
      <c r="T39" s="105"/>
      <c r="U39" s="189">
        <f t="shared" si="11"/>
        <v>149657.72155838733</v>
      </c>
      <c r="V39" s="104">
        <f t="shared" si="12"/>
        <v>2321685.6208465095</v>
      </c>
    </row>
    <row r="40" spans="1:22" ht="15" customHeight="1" thickBot="1" x14ac:dyDescent="0.25">
      <c r="B40" s="64">
        <v>20</v>
      </c>
      <c r="C40" s="82">
        <f t="shared" si="13"/>
        <v>0.90499999999999992</v>
      </c>
      <c r="D40" s="69">
        <f t="shared" si="0"/>
        <v>796399.99999999988</v>
      </c>
      <c r="E40" s="65"/>
      <c r="F40" s="66">
        <f t="shared" si="1"/>
        <v>3.8008491863932852</v>
      </c>
      <c r="G40" s="93">
        <f t="shared" si="6"/>
        <v>30269.962920436119</v>
      </c>
      <c r="H40" s="65"/>
      <c r="I40" s="69">
        <f t="shared" si="2"/>
        <v>796399.99999999988</v>
      </c>
      <c r="J40" s="68">
        <f t="shared" si="3"/>
        <v>17.535060530771002</v>
      </c>
      <c r="K40" s="97">
        <f t="shared" si="7"/>
        <v>139649.22206706024</v>
      </c>
      <c r="L40" s="65"/>
      <c r="M40" s="67">
        <f t="shared" si="4"/>
        <v>0</v>
      </c>
      <c r="N40" s="89">
        <f t="shared" si="5"/>
        <v>8.2881953623994544</v>
      </c>
      <c r="O40" s="99">
        <f t="shared" si="8"/>
        <v>0</v>
      </c>
      <c r="P40" s="66"/>
      <c r="Q40" s="179">
        <f t="shared" si="9"/>
        <v>16743.829014948391</v>
      </c>
      <c r="R40" s="127"/>
      <c r="S40" s="127">
        <f t="shared" si="10"/>
        <v>0</v>
      </c>
      <c r="T40" s="107"/>
      <c r="U40" s="190">
        <f t="shared" si="11"/>
        <v>153175.35597254796</v>
      </c>
      <c r="V40" s="106">
        <f t="shared" si="12"/>
        <v>2474860.9768190575</v>
      </c>
    </row>
    <row r="41" spans="1:22" ht="15" customHeight="1" x14ac:dyDescent="0.2">
      <c r="A41" s="130"/>
      <c r="B41" s="131">
        <v>21</v>
      </c>
      <c r="C41" s="132">
        <f t="shared" si="13"/>
        <v>0.89999999999999991</v>
      </c>
      <c r="D41" s="133">
        <f t="shared" si="0"/>
        <v>791999.99999999988</v>
      </c>
      <c r="E41" s="134"/>
      <c r="F41" s="135"/>
      <c r="G41" s="136">
        <v>0</v>
      </c>
      <c r="H41" s="134"/>
      <c r="I41" s="133">
        <f t="shared" si="2"/>
        <v>791999.99999999988</v>
      </c>
      <c r="J41" s="54">
        <f t="shared" si="3"/>
        <v>18.061112346694131</v>
      </c>
      <c r="K41" s="137">
        <f t="shared" si="7"/>
        <v>143044.0097858175</v>
      </c>
      <c r="L41" s="134"/>
      <c r="M41" s="138"/>
      <c r="N41" s="139"/>
      <c r="O41" s="137"/>
      <c r="P41" s="56"/>
      <c r="Q41" s="98">
        <f t="shared" si="9"/>
        <v>17204.284312859476</v>
      </c>
      <c r="R41" s="141"/>
      <c r="S41" s="141">
        <f t="shared" si="10"/>
        <v>0</v>
      </c>
      <c r="T41" s="141"/>
      <c r="U41" s="191">
        <f t="shared" si="11"/>
        <v>125839.72547295803</v>
      </c>
      <c r="V41" s="142">
        <f t="shared" si="12"/>
        <v>2600700.7022920153</v>
      </c>
    </row>
    <row r="42" spans="1:22" ht="15" customHeight="1" x14ac:dyDescent="0.2">
      <c r="A42" s="130"/>
      <c r="B42" s="143">
        <v>22</v>
      </c>
      <c r="C42" s="144">
        <f t="shared" si="13"/>
        <v>0.89499999999999991</v>
      </c>
      <c r="D42" s="133">
        <f t="shared" si="0"/>
        <v>787599.99999999988</v>
      </c>
      <c r="E42" s="145"/>
      <c r="F42" s="146"/>
      <c r="G42" s="147">
        <v>0</v>
      </c>
      <c r="H42" s="145"/>
      <c r="I42" s="133">
        <f t="shared" si="2"/>
        <v>787599.99999999988</v>
      </c>
      <c r="J42" s="54">
        <f t="shared" si="3"/>
        <v>18.602945717094954</v>
      </c>
      <c r="K42" s="148">
        <f t="shared" si="7"/>
        <v>146516.80046783984</v>
      </c>
      <c r="L42" s="145"/>
      <c r="M42" s="149"/>
      <c r="N42" s="150"/>
      <c r="O42" s="148"/>
      <c r="P42" s="151"/>
      <c r="Q42" s="98">
        <f t="shared" si="9"/>
        <v>17677.402131463114</v>
      </c>
      <c r="R42" s="152"/>
      <c r="S42" s="152">
        <f t="shared" si="10"/>
        <v>0</v>
      </c>
      <c r="T42" s="152"/>
      <c r="U42" s="192">
        <f t="shared" si="11"/>
        <v>128839.39833637673</v>
      </c>
      <c r="V42" s="153">
        <f t="shared" si="12"/>
        <v>2729540.1006283918</v>
      </c>
    </row>
    <row r="43" spans="1:22" ht="15" customHeight="1" x14ac:dyDescent="0.2">
      <c r="A43" s="130"/>
      <c r="B43" s="143">
        <v>23</v>
      </c>
      <c r="C43" s="144">
        <f t="shared" si="13"/>
        <v>0.8899999999999999</v>
      </c>
      <c r="D43" s="133">
        <f t="shared" si="0"/>
        <v>783199.99999999988</v>
      </c>
      <c r="E43" s="145"/>
      <c r="F43" s="146"/>
      <c r="G43" s="147">
        <v>0</v>
      </c>
      <c r="H43" s="145"/>
      <c r="I43" s="133">
        <f t="shared" si="2"/>
        <v>783199.99999999988</v>
      </c>
      <c r="J43" s="54">
        <f t="shared" si="3"/>
        <v>19.161034088607806</v>
      </c>
      <c r="K43" s="148">
        <f t="shared" si="7"/>
        <v>150069.21898197633</v>
      </c>
      <c r="L43" s="145"/>
      <c r="M43" s="149"/>
      <c r="N43" s="150"/>
      <c r="O43" s="148"/>
      <c r="P43" s="151"/>
      <c r="Q43" s="98">
        <f t="shared" si="9"/>
        <v>18163.530690078347</v>
      </c>
      <c r="R43" s="152"/>
      <c r="S43" s="152">
        <f t="shared" si="10"/>
        <v>0</v>
      </c>
      <c r="T43" s="152"/>
      <c r="U43" s="192">
        <f t="shared" si="11"/>
        <v>131905.688291898</v>
      </c>
      <c r="V43" s="153">
        <f t="shared" si="12"/>
        <v>2861445.7889202898</v>
      </c>
    </row>
    <row r="44" spans="1:22" ht="15" customHeight="1" x14ac:dyDescent="0.2">
      <c r="A44" s="130"/>
      <c r="B44" s="143">
        <v>24</v>
      </c>
      <c r="C44" s="144">
        <f t="shared" si="13"/>
        <v>0.8849999999999999</v>
      </c>
      <c r="D44" s="133">
        <f t="shared" si="0"/>
        <v>778799.99999999988</v>
      </c>
      <c r="E44" s="145"/>
      <c r="F44" s="146"/>
      <c r="G44" s="147">
        <v>0</v>
      </c>
      <c r="H44" s="145"/>
      <c r="I44" s="133">
        <f t="shared" si="2"/>
        <v>778799.99999999988</v>
      </c>
      <c r="J44" s="54">
        <f t="shared" si="3"/>
        <v>19.73586511126604</v>
      </c>
      <c r="K44" s="148">
        <f t="shared" si="7"/>
        <v>153702.9174865399</v>
      </c>
      <c r="L44" s="145"/>
      <c r="M44" s="149"/>
      <c r="N44" s="150"/>
      <c r="O44" s="148"/>
      <c r="P44" s="151"/>
      <c r="Q44" s="98">
        <f t="shared" si="9"/>
        <v>18663.027784055503</v>
      </c>
      <c r="R44" s="152"/>
      <c r="S44" s="152">
        <f t="shared" si="10"/>
        <v>0</v>
      </c>
      <c r="T44" s="152"/>
      <c r="U44" s="192">
        <f t="shared" si="11"/>
        <v>135039.88970248439</v>
      </c>
      <c r="V44" s="153">
        <f t="shared" si="12"/>
        <v>2996485.6786227743</v>
      </c>
    </row>
    <row r="45" spans="1:22" ht="15" customHeight="1" thickBot="1" x14ac:dyDescent="0.25">
      <c r="A45" s="130"/>
      <c r="B45" s="157">
        <v>25</v>
      </c>
      <c r="C45" s="158">
        <f t="shared" si="13"/>
        <v>0.87999999999999989</v>
      </c>
      <c r="D45" s="159">
        <f t="shared" si="0"/>
        <v>774399.99999999988</v>
      </c>
      <c r="E45" s="160"/>
      <c r="F45" s="161"/>
      <c r="G45" s="162">
        <v>0</v>
      </c>
      <c r="H45" s="160"/>
      <c r="I45" s="159">
        <f t="shared" si="2"/>
        <v>774399.99999999988</v>
      </c>
      <c r="J45" s="163">
        <f t="shared" si="3"/>
        <v>20.327941064604019</v>
      </c>
      <c r="K45" s="164">
        <f t="shared" si="7"/>
        <v>157419.5756042935</v>
      </c>
      <c r="L45" s="160"/>
      <c r="M45" s="165"/>
      <c r="N45" s="166"/>
      <c r="O45" s="164"/>
      <c r="P45" s="167"/>
      <c r="Q45" s="180">
        <f t="shared" si="9"/>
        <v>19176.26104811703</v>
      </c>
      <c r="R45" s="168"/>
      <c r="S45" s="168">
        <f t="shared" si="10"/>
        <v>0</v>
      </c>
      <c r="T45" s="168"/>
      <c r="U45" s="193">
        <f t="shared" si="11"/>
        <v>138243.31455617645</v>
      </c>
      <c r="V45" s="169">
        <f t="shared" si="12"/>
        <v>3134728.9931789506</v>
      </c>
    </row>
    <row r="46" spans="1:22" ht="15" customHeight="1" x14ac:dyDescent="0.2">
      <c r="A46" s="130"/>
      <c r="B46" s="131">
        <v>26</v>
      </c>
      <c r="C46" s="132">
        <f t="shared" si="13"/>
        <v>0.87499999999999989</v>
      </c>
      <c r="D46" s="154">
        <f t="shared" si="0"/>
        <v>769999.99999999988</v>
      </c>
      <c r="E46" s="134"/>
      <c r="F46" s="135"/>
      <c r="G46" s="136">
        <v>0</v>
      </c>
      <c r="H46" s="134"/>
      <c r="I46" s="154">
        <f t="shared" si="2"/>
        <v>769999.99999999988</v>
      </c>
      <c r="J46" s="155">
        <f t="shared" si="3"/>
        <v>20.937779296542139</v>
      </c>
      <c r="K46" s="137">
        <f t="shared" si="7"/>
        <v>161220.90058337443</v>
      </c>
      <c r="L46" s="134"/>
      <c r="M46" s="138"/>
      <c r="N46" s="139"/>
      <c r="O46" s="137"/>
      <c r="P46" s="156"/>
      <c r="Q46" s="98">
        <f t="shared" si="9"/>
        <v>19703.608226940254</v>
      </c>
      <c r="R46" s="141"/>
      <c r="S46" s="141">
        <f t="shared" si="10"/>
        <v>0</v>
      </c>
      <c r="T46" s="141"/>
      <c r="U46" s="191">
        <f t="shared" si="11"/>
        <v>141517.29235643416</v>
      </c>
      <c r="V46" s="140">
        <f t="shared" si="12"/>
        <v>3276246.2855353849</v>
      </c>
    </row>
    <row r="47" spans="1:22" ht="15" customHeight="1" x14ac:dyDescent="0.2">
      <c r="A47" s="130"/>
      <c r="B47" s="143">
        <v>27</v>
      </c>
      <c r="C47" s="144">
        <f t="shared" si="13"/>
        <v>0.86999999999999988</v>
      </c>
      <c r="D47" s="133">
        <f t="shared" si="0"/>
        <v>765599.99999999988</v>
      </c>
      <c r="E47" s="145"/>
      <c r="F47" s="146"/>
      <c r="G47" s="147">
        <f>D47*F47/100</f>
        <v>0</v>
      </c>
      <c r="H47" s="145"/>
      <c r="I47" s="133">
        <f t="shared" si="2"/>
        <v>765599.99999999988</v>
      </c>
      <c r="J47" s="54">
        <f t="shared" si="3"/>
        <v>21.565912675438405</v>
      </c>
      <c r="K47" s="148">
        <f t="shared" si="7"/>
        <v>165108.62744315641</v>
      </c>
      <c r="L47" s="145"/>
      <c r="M47" s="149"/>
      <c r="N47" s="150"/>
      <c r="O47" s="148"/>
      <c r="P47" s="151"/>
      <c r="Q47" s="98">
        <f t="shared" si="9"/>
        <v>20245.457453181112</v>
      </c>
      <c r="R47" s="152"/>
      <c r="S47" s="152">
        <f t="shared" si="10"/>
        <v>0</v>
      </c>
      <c r="T47" s="152"/>
      <c r="U47" s="192">
        <f t="shared" si="11"/>
        <v>144863.16998997529</v>
      </c>
      <c r="V47" s="153">
        <f t="shared" si="12"/>
        <v>3421109.4555253601</v>
      </c>
    </row>
    <row r="48" spans="1:22" ht="15" customHeight="1" x14ac:dyDescent="0.2">
      <c r="A48" s="130"/>
      <c r="B48" s="143">
        <v>28</v>
      </c>
      <c r="C48" s="144">
        <f t="shared" si="13"/>
        <v>0.86499999999999988</v>
      </c>
      <c r="D48" s="133">
        <f t="shared" si="0"/>
        <v>761199.99999999988</v>
      </c>
      <c r="E48" s="145"/>
      <c r="F48" s="146"/>
      <c r="G48" s="147">
        <f>D48*F48/100</f>
        <v>0</v>
      </c>
      <c r="H48" s="145"/>
      <c r="I48" s="133">
        <f t="shared" si="2"/>
        <v>761199.99999999988</v>
      </c>
      <c r="J48" s="54">
        <f t="shared" si="3"/>
        <v>22.212890055701557</v>
      </c>
      <c r="K48" s="148">
        <f t="shared" si="7"/>
        <v>169084.51910400021</v>
      </c>
      <c r="L48" s="145"/>
      <c r="M48" s="149"/>
      <c r="N48" s="150"/>
      <c r="O48" s="148"/>
      <c r="P48" s="151"/>
      <c r="Q48" s="98">
        <f t="shared" si="9"/>
        <v>20802.207533143592</v>
      </c>
      <c r="R48" s="152"/>
      <c r="S48" s="152">
        <f t="shared" si="10"/>
        <v>0</v>
      </c>
      <c r="T48" s="152"/>
      <c r="U48" s="192">
        <f t="shared" si="11"/>
        <v>148282.3115708566</v>
      </c>
      <c r="V48" s="153">
        <f t="shared" si="12"/>
        <v>3569391.7670962168</v>
      </c>
    </row>
    <row r="49" spans="1:22" ht="15" customHeight="1" x14ac:dyDescent="0.2">
      <c r="A49" s="130"/>
      <c r="B49" s="143">
        <v>29</v>
      </c>
      <c r="C49" s="144">
        <f t="shared" si="13"/>
        <v>0.85999999999999988</v>
      </c>
      <c r="D49" s="133">
        <f t="shared" si="0"/>
        <v>756799.99999999988</v>
      </c>
      <c r="E49" s="145"/>
      <c r="F49" s="146"/>
      <c r="G49" s="147">
        <f>D49*F49/100</f>
        <v>0</v>
      </c>
      <c r="H49" s="145"/>
      <c r="I49" s="133">
        <f t="shared" si="2"/>
        <v>756799.99999999988</v>
      </c>
      <c r="J49" s="54">
        <f t="shared" si="3"/>
        <v>22.879276757372601</v>
      </c>
      <c r="K49" s="148">
        <f t="shared" si="7"/>
        <v>173150.36649979581</v>
      </c>
      <c r="L49" s="145"/>
      <c r="M49" s="149"/>
      <c r="N49" s="150"/>
      <c r="O49" s="148"/>
      <c r="P49" s="151"/>
      <c r="Q49" s="98">
        <f t="shared" si="9"/>
        <v>21374.268240305038</v>
      </c>
      <c r="R49" s="152"/>
      <c r="S49" s="152">
        <f t="shared" si="10"/>
        <v>0</v>
      </c>
      <c r="T49" s="152"/>
      <c r="U49" s="192">
        <f t="shared" si="11"/>
        <v>151776.09825949077</v>
      </c>
      <c r="V49" s="153">
        <f t="shared" si="12"/>
        <v>3721167.8653557077</v>
      </c>
    </row>
    <row r="50" spans="1:22" ht="15" customHeight="1" x14ac:dyDescent="0.2">
      <c r="A50" s="130"/>
      <c r="B50" s="143">
        <v>30</v>
      </c>
      <c r="C50" s="144">
        <f t="shared" si="13"/>
        <v>0.85499999999999987</v>
      </c>
      <c r="D50" s="133">
        <f t="shared" si="0"/>
        <v>752399.99999999988</v>
      </c>
      <c r="E50" s="145"/>
      <c r="F50" s="146"/>
      <c r="G50" s="147">
        <f>D50*F50/100</f>
        <v>0</v>
      </c>
      <c r="H50" s="145"/>
      <c r="I50" s="133">
        <f t="shared" si="2"/>
        <v>752399.99999999988</v>
      </c>
      <c r="J50" s="54">
        <f t="shared" si="3"/>
        <v>23.565655060093778</v>
      </c>
      <c r="K50" s="148">
        <f t="shared" si="7"/>
        <v>177307.98867214556</v>
      </c>
      <c r="L50" s="145"/>
      <c r="M50" s="149"/>
      <c r="N50" s="150"/>
      <c r="O50" s="148"/>
      <c r="P50" s="151"/>
      <c r="Q50" s="98">
        <f t="shared" si="9"/>
        <v>21962.060616913433</v>
      </c>
      <c r="R50" s="152"/>
      <c r="S50" s="152">
        <f t="shared" si="10"/>
        <v>0</v>
      </c>
      <c r="T50" s="152"/>
      <c r="U50" s="192">
        <f t="shared" si="11"/>
        <v>155345.92805523213</v>
      </c>
      <c r="V50" s="153">
        <f t="shared" si="12"/>
        <v>3876513.7934109396</v>
      </c>
    </row>
    <row r="51" spans="1:22" ht="12.75" customHeight="1" x14ac:dyDescent="0.2">
      <c r="B51" s="17"/>
      <c r="C51" s="205"/>
      <c r="D51" s="206"/>
      <c r="E51" s="206"/>
      <c r="F51" s="206"/>
      <c r="G51" s="206"/>
      <c r="H51" s="206"/>
      <c r="I51" s="206"/>
      <c r="J51" s="206"/>
      <c r="K51" s="206"/>
      <c r="L51" s="207"/>
      <c r="M51" s="70"/>
      <c r="N51" s="90"/>
      <c r="O51" s="70"/>
      <c r="P51" s="70"/>
      <c r="Q51" s="181"/>
      <c r="R51" s="70"/>
      <c r="S51" s="70"/>
      <c r="T51" s="70"/>
      <c r="U51" s="173"/>
      <c r="V51" s="17"/>
    </row>
    <row r="52" spans="1:22" ht="17.100000000000001" customHeight="1" x14ac:dyDescent="0.2">
      <c r="B52" s="15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"/>
      <c r="N52" s="26"/>
      <c r="O52" s="2"/>
      <c r="P52" s="2"/>
      <c r="Q52" s="174"/>
      <c r="R52" s="110"/>
      <c r="S52" s="110"/>
      <c r="T52" s="2"/>
      <c r="U52" s="172"/>
      <c r="V52" s="15"/>
    </row>
    <row r="53" spans="1:22" ht="17.100000000000001" customHeight="1" x14ac:dyDescent="0.2">
      <c r="B53" s="15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"/>
      <c r="N53" s="26"/>
      <c r="O53" s="2"/>
      <c r="P53" s="2"/>
      <c r="Q53" s="174"/>
      <c r="R53" s="110"/>
      <c r="S53" s="110"/>
      <c r="T53" s="2"/>
      <c r="U53" s="172"/>
      <c r="V53" s="15"/>
    </row>
    <row r="55" spans="1:22" ht="12.75" customHeight="1" x14ac:dyDescent="0.2">
      <c r="C55" s="81"/>
      <c r="D55" s="10"/>
      <c r="E55" s="10"/>
      <c r="F55" s="9"/>
      <c r="G55" s="9"/>
    </row>
    <row r="56" spans="1:22" ht="12.75" customHeight="1" x14ac:dyDescent="0.2">
      <c r="C56" s="203"/>
      <c r="D56" s="204"/>
      <c r="E56" s="204"/>
      <c r="F56" s="204"/>
      <c r="G56" s="204"/>
      <c r="H56" s="204"/>
      <c r="I56" s="204"/>
      <c r="J56" s="204"/>
      <c r="K56" s="204"/>
      <c r="L56" s="204"/>
    </row>
  </sheetData>
  <mergeCells count="17">
    <mergeCell ref="P6:R6"/>
    <mergeCell ref="U15:V15"/>
    <mergeCell ref="U16:V16"/>
    <mergeCell ref="U14:V14"/>
    <mergeCell ref="B16:C16"/>
    <mergeCell ref="B6:C6"/>
    <mergeCell ref="B14:C14"/>
    <mergeCell ref="B15:C15"/>
    <mergeCell ref="F7:H7"/>
    <mergeCell ref="C56:L56"/>
    <mergeCell ref="C51:L53"/>
    <mergeCell ref="B10:C10"/>
    <mergeCell ref="B13:D13"/>
    <mergeCell ref="K9:M9"/>
    <mergeCell ref="B17:C17"/>
    <mergeCell ref="K10:M10"/>
    <mergeCell ref="B11:C11"/>
  </mergeCells>
  <pageMargins left="0.74803149606299213" right="0.74803149606299213" top="0.98425196850393704" bottom="0.98425196850393704" header="0.51181102362204722" footer="0.51181102362204722"/>
  <pageSetup paperSize="284" scale="78" fitToWidth="0" orientation="landscape" r:id="rId1"/>
  <headerFooter>
    <oddHeader>&amp;C&amp;"Calibri,Regular"&amp;11&amp;K000000</oddHeader>
    <oddFooter>&amp;L&amp;"Calibri,Regular"&amp;9&amp;K000000BSKL_CALC10kW_V1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Solar Carparking Financial Mode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christopher@flexi-solar.com</dc:creator>
  <cp:lastModifiedBy>Williams, Jonny</cp:lastModifiedBy>
  <cp:lastPrinted>2016-01-14T11:54:14Z</cp:lastPrinted>
  <dcterms:created xsi:type="dcterms:W3CDTF">2015-01-30T10:21:22Z</dcterms:created>
  <dcterms:modified xsi:type="dcterms:W3CDTF">2016-03-09T10:09:54Z</dcterms:modified>
</cp:coreProperties>
</file>